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TAMU-RS\TAMRA\Reporting - Killion\Reports\AFR_Annual Financial Report\AFR_Year End Procedures\Training SEFA AFR Workshop 2023\"/>
    </mc:Choice>
  </mc:AlternateContent>
  <xr:revisionPtr revIDLastSave="0" documentId="13_ncr:1_{93041FBD-2022-456C-8845-4EF037EF3EC7}" xr6:coauthVersionLast="47" xr6:coauthVersionMax="47" xr10:uidLastSave="{00000000-0000-0000-0000-000000000000}"/>
  <bookViews>
    <workbookView xWindow="-120" yWindow="-120" windowWidth="29040" windowHeight="15840" tabRatio="506" xr2:uid="{00000000-000D-0000-FFFF-FFFF00000000}"/>
  </bookViews>
  <sheets>
    <sheet name="exhIV_2022" sheetId="29" r:id="rId1"/>
    <sheet name="exhIV_2021" sheetId="28" r:id="rId2"/>
  </sheets>
  <externalReferences>
    <externalReference r:id="rId3"/>
  </externalReferences>
  <definedNames>
    <definedName name="_xlnm.Print_Area" localSheetId="1">exhIV_2021!$A$1:$O$84</definedName>
    <definedName name="_xlnm.Print_Area" localSheetId="0">exhIV_2022!$A$1:$P$83</definedName>
    <definedName name="_xlnm.Print_Titles" localSheetId="1">exhIV_2021!$1:$1</definedName>
    <definedName name="_xlnm.Print_Titles" localSheetId="0">exhIV_2022!$1:$1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29" l="1"/>
  <c r="H44" i="29"/>
  <c r="G15" i="29" l="1"/>
  <c r="O30" i="29" l="1"/>
  <c r="G6" i="29"/>
  <c r="P23" i="28"/>
  <c r="D9" i="29"/>
  <c r="D10" i="29"/>
  <c r="T8" i="29" l="1"/>
  <c r="P6" i="29" s="1"/>
  <c r="E45" i="29" l="1"/>
  <c r="D46" i="29" l="1"/>
  <c r="G46" i="29" s="1"/>
  <c r="G47" i="29"/>
  <c r="G45" i="29"/>
  <c r="G35" i="29"/>
  <c r="C33" i="29"/>
  <c r="G33" i="29" s="1"/>
  <c r="J80" i="29" l="1"/>
  <c r="I80" i="29"/>
  <c r="H80" i="29"/>
  <c r="G80" i="29"/>
  <c r="E80" i="29"/>
  <c r="D80" i="29"/>
  <c r="C80" i="29"/>
  <c r="F79" i="29"/>
  <c r="K79" i="29" s="1"/>
  <c r="P76" i="29"/>
  <c r="J77" i="29"/>
  <c r="I77" i="29"/>
  <c r="H77" i="29"/>
  <c r="G77" i="29"/>
  <c r="E77" i="29"/>
  <c r="D77" i="29"/>
  <c r="C77" i="29"/>
  <c r="F76" i="29"/>
  <c r="J73" i="29"/>
  <c r="I73" i="29"/>
  <c r="H73" i="29"/>
  <c r="G73" i="29"/>
  <c r="E73" i="29"/>
  <c r="D73" i="29"/>
  <c r="C73" i="29"/>
  <c r="F72" i="29"/>
  <c r="F71" i="29"/>
  <c r="F70" i="29"/>
  <c r="K70" i="29" s="1"/>
  <c r="F69" i="29"/>
  <c r="K69" i="29" s="1"/>
  <c r="F68" i="29"/>
  <c r="K68" i="29" s="1"/>
  <c r="P7" i="29" s="1"/>
  <c r="J66" i="29"/>
  <c r="I66" i="29"/>
  <c r="H66" i="29"/>
  <c r="G66" i="29"/>
  <c r="E66" i="29"/>
  <c r="D66" i="29"/>
  <c r="C66" i="29"/>
  <c r="F65" i="29"/>
  <c r="K65" i="29" s="1"/>
  <c r="F64" i="29"/>
  <c r="K64" i="29" s="1"/>
  <c r="F63" i="29"/>
  <c r="K63" i="29" s="1"/>
  <c r="F62" i="29"/>
  <c r="K62" i="29" s="1"/>
  <c r="F61" i="29"/>
  <c r="K61" i="29" s="1"/>
  <c r="F60" i="29"/>
  <c r="K60" i="29" s="1"/>
  <c r="F59" i="29"/>
  <c r="K59" i="29" s="1"/>
  <c r="F58" i="29"/>
  <c r="K58" i="29" s="1"/>
  <c r="F57" i="29"/>
  <c r="K57" i="29" s="1"/>
  <c r="F56" i="29"/>
  <c r="K56" i="29" s="1"/>
  <c r="F55" i="29"/>
  <c r="K55" i="29" s="1"/>
  <c r="F54" i="29"/>
  <c r="K54" i="29" s="1"/>
  <c r="F53" i="29"/>
  <c r="K53" i="29" s="1"/>
  <c r="F52" i="29"/>
  <c r="K52" i="29" s="1"/>
  <c r="F51" i="29"/>
  <c r="K51" i="29" s="1"/>
  <c r="F50" i="29"/>
  <c r="K50" i="29" s="1"/>
  <c r="F49" i="29"/>
  <c r="K49" i="29" s="1"/>
  <c r="F48" i="29"/>
  <c r="K48" i="29" s="1"/>
  <c r="F47" i="29"/>
  <c r="K47" i="29" s="1"/>
  <c r="F46" i="29"/>
  <c r="K46" i="29" s="1"/>
  <c r="F45" i="29"/>
  <c r="K45" i="29" s="1"/>
  <c r="F44" i="29"/>
  <c r="K44" i="29" s="1"/>
  <c r="J42" i="29"/>
  <c r="I42" i="29"/>
  <c r="H42" i="29"/>
  <c r="G42" i="29"/>
  <c r="E42" i="29"/>
  <c r="D42" i="29"/>
  <c r="C42" i="29"/>
  <c r="F41" i="29"/>
  <c r="K41" i="29" s="1"/>
  <c r="F40" i="29"/>
  <c r="K40" i="29" s="1"/>
  <c r="F39" i="29"/>
  <c r="K39" i="29" s="1"/>
  <c r="F38" i="29"/>
  <c r="K38" i="29" s="1"/>
  <c r="F37" i="29"/>
  <c r="K37" i="29" s="1"/>
  <c r="F36" i="29"/>
  <c r="K36" i="29" s="1"/>
  <c r="F35" i="29"/>
  <c r="K35" i="29" s="1"/>
  <c r="F34" i="29"/>
  <c r="K34" i="29" s="1"/>
  <c r="F33" i="29"/>
  <c r="K33" i="29" s="1"/>
  <c r="J31" i="29"/>
  <c r="I31" i="29"/>
  <c r="H31" i="29"/>
  <c r="G31" i="29"/>
  <c r="E31" i="29"/>
  <c r="D31" i="29"/>
  <c r="C31" i="29"/>
  <c r="F30" i="29"/>
  <c r="K30" i="29" s="1"/>
  <c r="F29" i="29"/>
  <c r="K29" i="29" s="1"/>
  <c r="F28" i="29"/>
  <c r="K28" i="29" s="1"/>
  <c r="F27" i="29"/>
  <c r="K27" i="29" s="1"/>
  <c r="F26" i="29"/>
  <c r="K26" i="29" s="1"/>
  <c r="F25" i="29"/>
  <c r="K25" i="29" s="1"/>
  <c r="J23" i="29"/>
  <c r="I23" i="29"/>
  <c r="H23" i="29"/>
  <c r="G23" i="29"/>
  <c r="E23" i="29"/>
  <c r="D23" i="29"/>
  <c r="C23" i="29"/>
  <c r="F22" i="29"/>
  <c r="K22" i="29" s="1"/>
  <c r="F21" i="29"/>
  <c r="K21" i="29" s="1"/>
  <c r="F20" i="29"/>
  <c r="K20" i="29" s="1"/>
  <c r="F19" i="29"/>
  <c r="K19" i="29" s="1"/>
  <c r="F18" i="29"/>
  <c r="K18" i="29" s="1"/>
  <c r="F17" i="29"/>
  <c r="K17" i="29" s="1"/>
  <c r="F16" i="29"/>
  <c r="K16" i="29" s="1"/>
  <c r="F15" i="29"/>
  <c r="K15" i="29" s="1"/>
  <c r="J13" i="29"/>
  <c r="I13" i="29"/>
  <c r="H13" i="29"/>
  <c r="G13" i="29"/>
  <c r="E13" i="29"/>
  <c r="D13" i="29"/>
  <c r="C13" i="29"/>
  <c r="F12" i="29"/>
  <c r="K12" i="29" s="1"/>
  <c r="F11" i="29"/>
  <c r="K11" i="29" s="1"/>
  <c r="F10" i="29"/>
  <c r="K10" i="29" s="1"/>
  <c r="F9" i="29"/>
  <c r="K9" i="29" s="1"/>
  <c r="F8" i="29"/>
  <c r="K8" i="29" s="1"/>
  <c r="F7" i="29"/>
  <c r="K7" i="29" s="1"/>
  <c r="F6" i="29"/>
  <c r="K6" i="29" s="1"/>
  <c r="F5" i="29"/>
  <c r="K5" i="29" s="1"/>
  <c r="F4" i="29"/>
  <c r="K4" i="29" s="1"/>
  <c r="F3" i="29"/>
  <c r="K76" i="29" l="1"/>
  <c r="K77" i="29" s="1"/>
  <c r="K71" i="29"/>
  <c r="K72" i="29"/>
  <c r="F77" i="29"/>
  <c r="J82" i="29"/>
  <c r="H82" i="29"/>
  <c r="I82" i="29"/>
  <c r="G82" i="29"/>
  <c r="E82" i="29"/>
  <c r="F73" i="29"/>
  <c r="F66" i="29"/>
  <c r="F42" i="29"/>
  <c r="C82" i="29"/>
  <c r="D82" i="29"/>
  <c r="K31" i="29"/>
  <c r="M31" i="29" s="1"/>
  <c r="F13" i="29"/>
  <c r="K23" i="29"/>
  <c r="O21" i="29" s="1"/>
  <c r="K80" i="29"/>
  <c r="L80" i="29"/>
  <c r="L82" i="29" s="1"/>
  <c r="K3" i="29"/>
  <c r="K66" i="29"/>
  <c r="M66" i="29" s="1"/>
  <c r="F31" i="29"/>
  <c r="F80" i="29"/>
  <c r="F23" i="29"/>
  <c r="K42" i="29"/>
  <c r="M42" i="29" s="1"/>
  <c r="F71" i="28"/>
  <c r="K71" i="28" s="1"/>
  <c r="O35" i="29" l="1"/>
  <c r="P9" i="29"/>
  <c r="K13" i="29"/>
  <c r="K82" i="29" s="1"/>
  <c r="P3" i="29"/>
  <c r="O34" i="29"/>
  <c r="P8" i="29"/>
  <c r="O22" i="29"/>
  <c r="M77" i="29"/>
  <c r="K73" i="29"/>
  <c r="M73" i="29" s="1"/>
  <c r="O33" i="29"/>
  <c r="O36" i="29" s="1"/>
  <c r="O20" i="29"/>
  <c r="F82" i="29"/>
  <c r="M80" i="29"/>
  <c r="M23" i="29"/>
  <c r="H45" i="28"/>
  <c r="F60" i="28"/>
  <c r="K60" i="28" s="1"/>
  <c r="F51" i="28"/>
  <c r="K51" i="28" s="1"/>
  <c r="Q11" i="28"/>
  <c r="P11" i="29" l="1"/>
  <c r="M13" i="29"/>
  <c r="O23" i="29"/>
  <c r="O38" i="29" s="1"/>
  <c r="J81" i="28"/>
  <c r="I81" i="28"/>
  <c r="H81" i="28"/>
  <c r="G81" i="28"/>
  <c r="E81" i="28"/>
  <c r="D81" i="28"/>
  <c r="C81" i="28"/>
  <c r="F80" i="28"/>
  <c r="K80" i="28" s="1"/>
  <c r="L81" i="28" s="1"/>
  <c r="J78" i="28"/>
  <c r="I78" i="28"/>
  <c r="H78" i="28"/>
  <c r="G78" i="28"/>
  <c r="E78" i="28"/>
  <c r="D78" i="28"/>
  <c r="C78" i="28"/>
  <c r="F77" i="28"/>
  <c r="K77" i="28" s="1"/>
  <c r="O79" i="28"/>
  <c r="J74" i="28"/>
  <c r="I74" i="28"/>
  <c r="H74" i="28"/>
  <c r="G74" i="28"/>
  <c r="E74" i="28"/>
  <c r="D74" i="28"/>
  <c r="C74" i="28"/>
  <c r="F73" i="28"/>
  <c r="K73" i="28" s="1"/>
  <c r="F72" i="28"/>
  <c r="K72" i="28" s="1"/>
  <c r="N29" i="28" s="1"/>
  <c r="F70" i="28"/>
  <c r="K70" i="28" s="1"/>
  <c r="F69" i="28"/>
  <c r="J67" i="28"/>
  <c r="I67" i="28"/>
  <c r="G67" i="28"/>
  <c r="E67" i="28"/>
  <c r="D67" i="28"/>
  <c r="C67" i="28"/>
  <c r="F66" i="28"/>
  <c r="K66" i="28" s="1"/>
  <c r="F65" i="28"/>
  <c r="K65" i="28" s="1"/>
  <c r="F64" i="28"/>
  <c r="K64" i="28" s="1"/>
  <c r="F63" i="28"/>
  <c r="K63" i="28" s="1"/>
  <c r="F62" i="28"/>
  <c r="K62" i="28" s="1"/>
  <c r="F61" i="28"/>
  <c r="K61" i="28" s="1"/>
  <c r="F59" i="28"/>
  <c r="K59" i="28" s="1"/>
  <c r="F58" i="28"/>
  <c r="K58" i="28" s="1"/>
  <c r="F57" i="28"/>
  <c r="K57" i="28" s="1"/>
  <c r="F56" i="28"/>
  <c r="K56" i="28" s="1"/>
  <c r="F55" i="28"/>
  <c r="K55" i="28" s="1"/>
  <c r="F54" i="28"/>
  <c r="K54" i="28" s="1"/>
  <c r="F53" i="28"/>
  <c r="K53" i="28" s="1"/>
  <c r="F52" i="28"/>
  <c r="K52" i="28" s="1"/>
  <c r="F50" i="28"/>
  <c r="K50" i="28" s="1"/>
  <c r="F49" i="28"/>
  <c r="K49" i="28" s="1"/>
  <c r="F48" i="28"/>
  <c r="K48" i="28" s="1"/>
  <c r="N48" i="28" s="1"/>
  <c r="P48" i="28" s="1"/>
  <c r="Q48" i="28" s="1"/>
  <c r="F47" i="28"/>
  <c r="K47" i="28" s="1"/>
  <c r="F46" i="28"/>
  <c r="K46" i="28" s="1"/>
  <c r="H67" i="28"/>
  <c r="F45" i="28"/>
  <c r="K45" i="28" s="1"/>
  <c r="J43" i="28"/>
  <c r="I43" i="28"/>
  <c r="H43" i="28"/>
  <c r="G43" i="28"/>
  <c r="E43" i="28"/>
  <c r="D43" i="28"/>
  <c r="C43" i="28"/>
  <c r="F42" i="28"/>
  <c r="K42" i="28" s="1"/>
  <c r="F41" i="28"/>
  <c r="K41" i="28" s="1"/>
  <c r="F40" i="28"/>
  <c r="K40" i="28" s="1"/>
  <c r="F39" i="28"/>
  <c r="K39" i="28" s="1"/>
  <c r="F38" i="28"/>
  <c r="K38" i="28" s="1"/>
  <c r="F37" i="28"/>
  <c r="K37" i="28" s="1"/>
  <c r="F36" i="28"/>
  <c r="K36" i="28" s="1"/>
  <c r="F35" i="28"/>
  <c r="K35" i="28" s="1"/>
  <c r="F34" i="28"/>
  <c r="K34" i="28" s="1"/>
  <c r="J32" i="28"/>
  <c r="I32" i="28"/>
  <c r="H32" i="28"/>
  <c r="G32" i="28"/>
  <c r="E32" i="28"/>
  <c r="D32" i="28"/>
  <c r="C32" i="28"/>
  <c r="F31" i="28"/>
  <c r="K31" i="28" s="1"/>
  <c r="F30" i="28"/>
  <c r="K30" i="28" s="1"/>
  <c r="F29" i="28"/>
  <c r="F28" i="28"/>
  <c r="K28" i="28" s="1"/>
  <c r="F27" i="28"/>
  <c r="K27" i="28" s="1"/>
  <c r="F26" i="28"/>
  <c r="K26" i="28" s="1"/>
  <c r="J24" i="28"/>
  <c r="I24" i="28"/>
  <c r="H24" i="28"/>
  <c r="G24" i="28"/>
  <c r="E24" i="28"/>
  <c r="D24" i="28"/>
  <c r="C24" i="28"/>
  <c r="N23" i="28"/>
  <c r="F23" i="28"/>
  <c r="K23" i="28" s="1"/>
  <c r="F22" i="28"/>
  <c r="K22" i="28" s="1"/>
  <c r="F21" i="28"/>
  <c r="K21" i="28" s="1"/>
  <c r="F20" i="28"/>
  <c r="K20" i="28" s="1"/>
  <c r="F19" i="28"/>
  <c r="K19" i="28" s="1"/>
  <c r="F18" i="28"/>
  <c r="K18" i="28" s="1"/>
  <c r="F17" i="28"/>
  <c r="K17" i="28" s="1"/>
  <c r="F16" i="28"/>
  <c r="K16" i="28" s="1"/>
  <c r="J14" i="28"/>
  <c r="I14" i="28"/>
  <c r="G14" i="28"/>
  <c r="E14" i="28"/>
  <c r="C14" i="28"/>
  <c r="F13" i="28"/>
  <c r="K13" i="28" s="1"/>
  <c r="M12" i="28"/>
  <c r="F12" i="28"/>
  <c r="K12" i="28" s="1"/>
  <c r="D14" i="28"/>
  <c r="F10" i="28"/>
  <c r="K10" i="28" s="1"/>
  <c r="F9" i="28"/>
  <c r="K9" i="28" s="1"/>
  <c r="F8" i="28"/>
  <c r="K8" i="28" s="1"/>
  <c r="F7" i="28"/>
  <c r="K7" i="28" s="1"/>
  <c r="F6" i="28"/>
  <c r="K6" i="28" s="1"/>
  <c r="F5" i="28"/>
  <c r="K5" i="28" s="1"/>
  <c r="F4" i="28"/>
  <c r="K4" i="28" s="1"/>
  <c r="F3" i="28"/>
  <c r="K3" i="28" s="1"/>
  <c r="F74" i="28" l="1"/>
  <c r="F32" i="28"/>
  <c r="F81" i="28"/>
  <c r="F24" i="28"/>
  <c r="G83" i="28"/>
  <c r="J83" i="28"/>
  <c r="I83" i="28"/>
  <c r="F67" i="28"/>
  <c r="D83" i="28"/>
  <c r="K29" i="28"/>
  <c r="K32" i="28" s="1"/>
  <c r="M32" i="28" s="1"/>
  <c r="C83" i="28"/>
  <c r="E83" i="28"/>
  <c r="K24" i="28"/>
  <c r="L83" i="28"/>
  <c r="K78" i="28"/>
  <c r="K43" i="28"/>
  <c r="M43" i="28" s="1"/>
  <c r="K67" i="28"/>
  <c r="M67" i="28" s="1"/>
  <c r="K69" i="28"/>
  <c r="K74" i="28" s="1"/>
  <c r="M74" i="28" s="1"/>
  <c r="F78" i="28"/>
  <c r="H14" i="28"/>
  <c r="H83" i="28" s="1"/>
  <c r="F43" i="28"/>
  <c r="K81" i="28"/>
  <c r="M81" i="28" s="1"/>
  <c r="F11" i="28"/>
  <c r="K11" i="28" s="1"/>
  <c r="K14" i="28" s="1"/>
  <c r="M78" i="28" l="1"/>
  <c r="N16" i="28"/>
  <c r="F14" i="28"/>
  <c r="F83" i="28" s="1"/>
  <c r="M24" i="28"/>
  <c r="N15" i="28"/>
  <c r="N14" i="28" l="1"/>
  <c r="K83" i="28"/>
  <c r="M14" i="28"/>
  <c r="N17" i="28" l="1"/>
  <c r="N31" i="28" s="1"/>
  <c r="O39" i="29" l="1"/>
  <c r="O40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Dunn, Keely B.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Dunn, Keely B.:</t>
        </r>
        <r>
          <rPr>
            <sz val="9"/>
            <color indexed="81"/>
            <rFont val="Tahoma"/>
            <family val="2"/>
          </rPr>
          <t xml:space="preserve">
Updated as of 10/04/22
Source:  IV_Fund Recon.xlx</t>
        </r>
      </text>
    </comment>
    <comment ref="L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Dunn, Keely B.:</t>
        </r>
        <r>
          <rPr>
            <sz val="9"/>
            <color indexed="81"/>
            <rFont val="Tahoma"/>
            <family val="2"/>
          </rPr>
          <t xml:space="preserve">
Updated as of 10/04/22
Source:  AFR IV Fund sent daily by Greg Allen
</t>
        </r>
      </text>
    </comment>
    <comment ref="G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Dunn, Keely B.:</t>
        </r>
        <r>
          <rPr>
            <sz val="9"/>
            <color indexed="81"/>
            <rFont val="Tahoma"/>
            <family val="2"/>
          </rPr>
          <t xml:space="preserve">
=-'[2022_recon_fed revexp_tamu WP.xlsx]2022'!$F$4</t>
        </r>
      </text>
    </comment>
    <comment ref="D1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Dunn, Keely B.:</t>
        </r>
        <r>
          <rPr>
            <sz val="9"/>
            <color indexed="81"/>
            <rFont val="Tahoma"/>
            <family val="2"/>
          </rPr>
          <t xml:space="preserve">
Do not include TFC (service center) 02-270600</t>
        </r>
      </text>
    </comment>
    <comment ref="G1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Dunn, Keely B.:</t>
        </r>
        <r>
          <rPr>
            <sz val="9"/>
            <color indexed="81"/>
            <rFont val="Tahoma"/>
            <family val="2"/>
          </rPr>
          <t xml:space="preserve">
Remove TFC, Service Center (270600) amount
</t>
        </r>
      </text>
    </comment>
    <comment ref="H4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Dunn, Keely B.:</t>
        </r>
        <r>
          <rPr>
            <sz val="9"/>
            <color indexed="81"/>
            <rFont val="Tahoma"/>
            <family val="2"/>
          </rPr>
          <t xml:space="preserve">
Screen 80, GL codes 4100 and 4115.  The rest of the range did not have any activity.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JLK</author>
    <author>DOR Staff</author>
  </authors>
  <commentList>
    <comment ref="G1" authorId="0" shapeId="0" xr:uid="{00000000-0006-0000-0100-000001000000}">
      <text>
        <r>
          <rPr>
            <sz val="6.5"/>
            <color indexed="81"/>
            <rFont val="Small Fonts"/>
            <family val="2"/>
          </rPr>
          <t>Must deduct IDC revenue; includes Ledgers 4, 5, 6</t>
        </r>
      </text>
    </comment>
    <comment ref="D10" authorId="1" shapeId="0" xr:uid="{00000000-0006-0000-0100-000002000000}">
      <text>
        <r>
          <rPr>
            <sz val="9"/>
            <color indexed="81"/>
            <rFont val="Tahoma"/>
            <family val="2"/>
          </rPr>
          <t>Finc Aid: 216920, 218310, 218340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<sst xmlns="http://schemas.openxmlformats.org/spreadsheetml/2006/main" count="373" uniqueCount="204">
  <si>
    <t>Definition</t>
  </si>
  <si>
    <t>Total</t>
  </si>
  <si>
    <t>Indirect Cost Revenue - Federal Grants &amp; Contracts</t>
  </si>
  <si>
    <t>IDC Rev - Fed Flow Through - Non-Tx Grants &amp; Contracts</t>
  </si>
  <si>
    <t>Federal Grants &amp; Contracts</t>
  </si>
  <si>
    <t>Indirect Cost Rev - Fed Flow Thru Grants &amp; Contracts</t>
  </si>
  <si>
    <t>Indirect Cost Revenue - State Grants &amp; Contracts</t>
  </si>
  <si>
    <t>IDC Rev - St Flow Through - Non-Tx Grants &amp; Contracts</t>
  </si>
  <si>
    <t>Indirect Cost Revenue - Local Grants &amp; Contracts</t>
  </si>
  <si>
    <t>Private Grants &amp; Contracts</t>
  </si>
  <si>
    <t>Func &amp; General</t>
  </si>
  <si>
    <t>Designated</t>
  </si>
  <si>
    <t>Auxiliary</t>
  </si>
  <si>
    <t>Restricted</t>
  </si>
  <si>
    <t>Loan Funds</t>
  </si>
  <si>
    <t>Current Year Total</t>
  </si>
  <si>
    <t>FEDERAL REVENUE - OPERATING</t>
  </si>
  <si>
    <t>Federal Flow Through - Non-Tx State Entities</t>
  </si>
  <si>
    <t>Ties to IA</t>
  </si>
  <si>
    <t>FEDERAL PASS THROUGH REVENUE</t>
  </si>
  <si>
    <t xml:space="preserve"> </t>
  </si>
  <si>
    <t>STATE GRANT REVENUE</t>
  </si>
  <si>
    <t>STATE GRANT PASS THROUGH REVENUE</t>
  </si>
  <si>
    <t>OTHER GRANTS &amp; CONTRACTS  - OPERATING</t>
  </si>
  <si>
    <t xml:space="preserve">Fed Flow Through Contracts &amp; Grants - State of Texas    </t>
  </si>
  <si>
    <t xml:space="preserve">State Contracts &amp; Grants    </t>
  </si>
  <si>
    <t xml:space="preserve">Fed Govt Int. Subsidy Contracts &amp; Grants - 300630 </t>
  </si>
  <si>
    <t>IDC Rev-Fed Flow Thru-TAMRF Grants &amp; Contracts</t>
  </si>
  <si>
    <t>IDC Rev-Fed Flow Thru-TAMUS Parts Grants &amp; Contracts</t>
  </si>
  <si>
    <t xml:space="preserve">Local Contracts &amp; Grants   </t>
  </si>
  <si>
    <t>Private Contracts &amp; Grants</t>
  </si>
  <si>
    <t>Foreign Contracts &amp; Grants</t>
  </si>
  <si>
    <t xml:space="preserve">Indirect Cost Revenue - Foreign    </t>
  </si>
  <si>
    <t xml:space="preserve">Other Flow Through - TAMUS </t>
  </si>
  <si>
    <t>Other Flow Through - TAMRF</t>
  </si>
  <si>
    <t>Indirect Cost Revenue - Private Grants &amp; Contracts-TAMU</t>
  </si>
  <si>
    <t>Residual Funds</t>
  </si>
  <si>
    <t>0329 - TAMU</t>
  </si>
  <si>
    <t>Revenue Code</t>
  </si>
  <si>
    <t>State Flow Thru Grants &amp; Contracts</t>
  </si>
  <si>
    <t xml:space="preserve">St Flowthru Cont &amp; Grt NONOPERATING  </t>
  </si>
  <si>
    <t>Fed Flow Thru - TAMUS</t>
  </si>
  <si>
    <t>Fed Flow Thru - TAMRF</t>
  </si>
  <si>
    <t>Indirect Cost Expense - Federal Grants &amp; Contracts</t>
  </si>
  <si>
    <t>IDC Federal Flow Through - Non-Tx State Entities</t>
  </si>
  <si>
    <t xml:space="preserve">Indirect Cost - Federal Flow thru Projects - State of Tx  </t>
  </si>
  <si>
    <t>IDC-Fed Flow Thru-TAMUS Parts</t>
  </si>
  <si>
    <t>IDC Rev-Fed Flow Thru-TX State Universities</t>
  </si>
  <si>
    <t>IDC Expense - State Grants &amp; Contracts</t>
  </si>
  <si>
    <t>State Flow Through - TAMUS Parts</t>
  </si>
  <si>
    <t>IDC Rev-State Flow Thru-TAMUS Grants &amp; Contracts</t>
  </si>
  <si>
    <t>State Contracts - Remedial Educ</t>
  </si>
  <si>
    <t>IDC Expense - State Flow Through Grants &amp; Contracts</t>
  </si>
  <si>
    <t>IDC Revenue - State Flow Thru Grants &amp; Contracts</t>
  </si>
  <si>
    <t>Indirect Expense - Local</t>
  </si>
  <si>
    <t>Indirect Expense - Private</t>
  </si>
  <si>
    <t>Indirect Expense - Foreign</t>
  </si>
  <si>
    <t>Indirect Expense - Fixed Price Residual</t>
  </si>
  <si>
    <t xml:space="preserve">IDC Rev-Other Flow Thru-TAMRF Grants &amp; Contracts </t>
  </si>
  <si>
    <t>Endowment and Similar Funds</t>
  </si>
  <si>
    <t>IDC-Other-TAMUS</t>
  </si>
  <si>
    <t>IDC-State Flow Thru - TAMRF</t>
  </si>
  <si>
    <t>GRANTS &amp; CONTRACTS REVENUES</t>
  </si>
  <si>
    <t>Difference</t>
  </si>
  <si>
    <t>State Flow Through - TAMRF</t>
  </si>
  <si>
    <t>IDC Expense - State Flow Through - TAMUS</t>
  </si>
  <si>
    <t>Current Year Total Per IV-Fund</t>
  </si>
  <si>
    <t>0281-0282-0283-0284</t>
  </si>
  <si>
    <t>Reduction - Grants</t>
  </si>
  <si>
    <t>FEDERAL DIRECT REVENUE - NON-OPERATING</t>
  </si>
  <si>
    <t>Non-Operating Federal Direct - PELL Grants</t>
  </si>
  <si>
    <t>State Flow Through - Non-Tx State</t>
  </si>
  <si>
    <t xml:space="preserve">IDC-State Pass Through - Non-Tx   </t>
  </si>
  <si>
    <t>Administrative Allowance - Financial Aid</t>
  </si>
  <si>
    <t>FEDERAL PASS THROUGH REVENUE - NON-OPERATING</t>
  </si>
  <si>
    <t>Plant Funds</t>
  </si>
  <si>
    <t>941880</t>
  </si>
  <si>
    <t>941881</t>
  </si>
  <si>
    <t>Federal</t>
  </si>
  <si>
    <t>Federal PT</t>
  </si>
  <si>
    <t>0320 (230001)</t>
  </si>
  <si>
    <t>0327 (230001)</t>
  </si>
  <si>
    <t>941882</t>
  </si>
  <si>
    <t>0332</t>
  </si>
  <si>
    <t>IDC Rev-Other Flow Thru-TAMUS</t>
  </si>
  <si>
    <t>941883</t>
  </si>
  <si>
    <t>Pell/Iraq/Afghanistan</t>
  </si>
  <si>
    <t>0272</t>
  </si>
  <si>
    <t>Fed Rev-Student Fin Assistance</t>
  </si>
  <si>
    <t>0273</t>
  </si>
  <si>
    <t>Fed Flow Thru-TAMUS-Student Fin</t>
  </si>
  <si>
    <t>0274</t>
  </si>
  <si>
    <t>0275</t>
  </si>
  <si>
    <t>State Flow Thru-Student Fin Assist</t>
  </si>
  <si>
    <t>State Flow Thru-TAMUS-Student Fin</t>
  </si>
  <si>
    <t>0276</t>
  </si>
  <si>
    <t>Other Grant-Student Fin Assistance</t>
  </si>
  <si>
    <t>941893</t>
  </si>
  <si>
    <t>Includes Irag/Afghanistan</t>
  </si>
  <si>
    <t>PELL - Subcode 0286</t>
  </si>
  <si>
    <t>Other Contracts</t>
  </si>
  <si>
    <t>941888</t>
  </si>
  <si>
    <t>415981</t>
  </si>
  <si>
    <t>Accounts</t>
  </si>
  <si>
    <t>Amount</t>
  </si>
  <si>
    <t>941898</t>
  </si>
  <si>
    <t>941899</t>
  </si>
  <si>
    <t>941889</t>
  </si>
  <si>
    <t>415991</t>
  </si>
  <si>
    <t>REVENUES IN 02-415999-00000-0272</t>
  </si>
  <si>
    <t>FED DIRECT STU LOANS</t>
  </si>
  <si>
    <t>941890</t>
  </si>
  <si>
    <t>415901</t>
  </si>
  <si>
    <t>FY2020</t>
  </si>
  <si>
    <t>0301</t>
  </si>
  <si>
    <t>0300</t>
  </si>
  <si>
    <t>Federal Stimulus-Student Aid</t>
  </si>
  <si>
    <t>Federal Stimulus-Member Discretion</t>
  </si>
  <si>
    <t>Subcode 0300</t>
  </si>
  <si>
    <t>Subcode 0301</t>
  </si>
  <si>
    <t>415911</t>
  </si>
  <si>
    <t>415921</t>
  </si>
  <si>
    <t>0286</t>
  </si>
  <si>
    <t>941891</t>
  </si>
  <si>
    <t>Indirect Cost-Federal Non-Operating</t>
  </si>
  <si>
    <t>FY2021</t>
  </si>
  <si>
    <t>0302</t>
  </si>
  <si>
    <t>NonOp Fed Pass-thru Stimulus</t>
  </si>
  <si>
    <t>941892</t>
  </si>
  <si>
    <t>4100-4115</t>
  </si>
  <si>
    <t>Foreign</t>
  </si>
  <si>
    <t>DON'T INCLUDE AGAIN; ALREADY COUNTED IN FEDERAL, 0272</t>
  </si>
  <si>
    <t>Federal PT Non Operating</t>
  </si>
  <si>
    <t>0336</t>
  </si>
  <si>
    <t>9636</t>
  </si>
  <si>
    <t>IDC-Federal Non-Operating</t>
  </si>
  <si>
    <t>IV-FUND REVENUES</t>
  </si>
  <si>
    <t>415931</t>
  </si>
  <si>
    <t>Should Tie to IA</t>
  </si>
  <si>
    <t>0250</t>
  </si>
  <si>
    <t>0251</t>
  </si>
  <si>
    <t>0260</t>
  </si>
  <si>
    <t>0270</t>
  </si>
  <si>
    <t>0333</t>
  </si>
  <si>
    <t>9610</t>
  </si>
  <si>
    <t>0252</t>
  </si>
  <si>
    <t>0262</t>
  </si>
  <si>
    <t>0321</t>
  </si>
  <si>
    <t>0329</t>
  </si>
  <si>
    <t>0330</t>
  </si>
  <si>
    <t>9615</t>
  </si>
  <si>
    <t>9619</t>
  </si>
  <si>
    <t>0253</t>
  </si>
  <si>
    <t>0261</t>
  </si>
  <si>
    <t>0322</t>
  </si>
  <si>
    <t>0328</t>
  </si>
  <si>
    <t>9620</t>
  </si>
  <si>
    <t>9623</t>
  </si>
  <si>
    <t>0257</t>
  </si>
  <si>
    <t>0259</t>
  </si>
  <si>
    <t>0264</t>
  </si>
  <si>
    <t>0326</t>
  </si>
  <si>
    <t>0331</t>
  </si>
  <si>
    <t>9622</t>
  </si>
  <si>
    <t>9624</t>
  </si>
  <si>
    <t>0254</t>
  </si>
  <si>
    <t>0255</t>
  </si>
  <si>
    <t>0256</t>
  </si>
  <si>
    <t>0258</t>
  </si>
  <si>
    <t>0265</t>
  </si>
  <si>
    <t>0267</t>
  </si>
  <si>
    <t>0271</t>
  </si>
  <si>
    <t>0298</t>
  </si>
  <si>
    <t>0323</t>
  </si>
  <si>
    <t>0324</t>
  </si>
  <si>
    <t>0325</t>
  </si>
  <si>
    <t>0334</t>
  </si>
  <si>
    <t>0335</t>
  </si>
  <si>
    <t>9625</t>
  </si>
  <si>
    <t>9627</t>
  </si>
  <si>
    <t>9630</t>
  </si>
  <si>
    <t>9635</t>
  </si>
  <si>
    <t>9650</t>
  </si>
  <si>
    <t>0279</t>
  </si>
  <si>
    <t>0320</t>
  </si>
  <si>
    <t>Variance</t>
  </si>
  <si>
    <t>0272 (Ledger 4 only)</t>
  </si>
  <si>
    <t>Check Figure (2022_recon_fed revexp_tamu WP.xlsx)</t>
  </si>
  <si>
    <t>IRAQ/AFGHAN SVC</t>
  </si>
  <si>
    <t>IRAQ, AFGHAN</t>
  </si>
  <si>
    <t>Irag / Afghanaistan ED, 941892, 941893</t>
  </si>
  <si>
    <t>4100-4115 (GL)</t>
  </si>
  <si>
    <t>IDC amounts should net to $0 if monthly IDC Recon is maintained.</t>
  </si>
  <si>
    <t>Walk to 2022_Recon_FedExp_TAMU WP.xlsx</t>
  </si>
  <si>
    <t>Walk to Fed Sched 1A BO Query</t>
  </si>
  <si>
    <t>93.342</t>
  </si>
  <si>
    <t>Remove Acq &amp; Services</t>
  </si>
  <si>
    <t>Remove Irag/Afghanistan</t>
  </si>
  <si>
    <t>both ledgers 4 &amp; 9</t>
  </si>
  <si>
    <t>Non-Op Fed Pell Grant</t>
  </si>
  <si>
    <t>Fed Stimulus</t>
  </si>
  <si>
    <t>GL 070500 and 070503 - Provided by Student Services</t>
  </si>
  <si>
    <t>REVENUES ARE IN 02-415999-00000-0272</t>
  </si>
  <si>
    <t>DOES NOT INCLUDE SERVICE CENTER ACCOUNTS, 270***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</si>
</sst>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8"/>
      <name val="Euphemia"/>
      <family val="2"/>
    </font>
    <font>
      <u val="singleAccounting"/>
      <sz val="8"/>
      <name val="Euphemia"/>
      <family val="2"/>
    </font>
    <font>
      <sz val="8"/>
      <name val="Euphemia"/>
      <family val="2"/>
    </font>
    <font>
      <b/>
      <sz val="8"/>
      <name val="Euphemia"/>
      <family val="2"/>
    </font>
    <font>
      <b/>
      <u val="singleAccounting"/>
      <sz val="8"/>
      <name val="Euphemia"/>
      <family val="2"/>
    </font>
    <font>
      <sz val="8"/>
      <color rgb="FFFF0000"/>
      <name val="Euphemia"/>
      <family val="2"/>
    </font>
    <font>
      <sz val="6.5"/>
      <color indexed="81"/>
      <name val="Small Fonts"/>
      <family val="2"/>
    </font>
    <font>
      <sz val="10"/>
      <name val="Arial"/>
      <family val="2"/>
    </font>
    <font>
      <sz val="8"/>
      <name val="Euphemia"/>
      <family val="2"/>
    </font>
    <font>
      <b/>
      <sz val="8"/>
      <name val="Euphemia"/>
      <family val="2"/>
    </font>
    <font>
      <b/>
      <sz val="9"/>
      <color indexed="81"/>
      <name val="Tahoma"/>
      <family val="2"/>
    </font>
    <font>
      <sz val="8"/>
      <name val="Euphemia"/>
      <family val="2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6" applyNumberFormat="0" applyAlignment="0" applyProtection="0"/>
    <xf numFmtId="0" fontId="14" fillId="9" borderId="7" applyNumberFormat="0" applyAlignment="0" applyProtection="0"/>
    <xf numFmtId="0" fontId="15" fillId="9" borderId="6" applyNumberFormat="0" applyAlignment="0" applyProtection="0"/>
    <xf numFmtId="0" fontId="16" fillId="0" borderId="8" applyNumberFormat="0" applyFill="0" applyAlignment="0" applyProtection="0"/>
    <xf numFmtId="0" fontId="17" fillId="1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1" fillId="35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9" fontId="2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0" applyNumberFormat="0" applyFont="0" applyAlignment="0" applyProtection="0"/>
    <xf numFmtId="9" fontId="3" fillId="0" borderId="0" applyFont="0" applyFill="0" applyBorder="0" applyAlignment="0" applyProtection="0"/>
  </cellStyleXfs>
  <cellXfs count="148">
    <xf numFmtId="0" fontId="0" fillId="0" borderId="0" xfId="0"/>
    <xf numFmtId="0" fontId="22" fillId="0" borderId="0" xfId="0" applyFont="1" applyAlignment="1">
      <alignment horizontal="center" wrapText="1"/>
    </xf>
    <xf numFmtId="43" fontId="22" fillId="0" borderId="0" xfId="0" applyNumberFormat="1" applyFont="1" applyAlignment="1">
      <alignment horizontal="center" wrapText="1"/>
    </xf>
    <xf numFmtId="43" fontId="24" fillId="0" borderId="0" xfId="1" applyNumberFormat="1" applyFont="1"/>
    <xf numFmtId="43" fontId="24" fillId="0" borderId="0" xfId="0" applyNumberFormat="1" applyFont="1" applyAlignment="1">
      <alignment horizontal="left"/>
    </xf>
    <xf numFmtId="43" fontId="24" fillId="0" borderId="0" xfId="0" applyNumberFormat="1" applyFont="1"/>
    <xf numFmtId="164" fontId="22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164" fontId="24" fillId="0" borderId="0" xfId="0" quotePrefix="1" applyNumberFormat="1" applyFont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/>
    <xf numFmtId="44" fontId="24" fillId="0" borderId="0" xfId="0" applyNumberFormat="1" applyFont="1" applyAlignment="1">
      <alignment wrapText="1"/>
    </xf>
    <xf numFmtId="43" fontId="24" fillId="0" borderId="0" xfId="0" quotePrefix="1" applyNumberFormat="1" applyFont="1" applyAlignment="1">
      <alignment horizontal="left"/>
    </xf>
    <xf numFmtId="43" fontId="26" fillId="0" borderId="0" xfId="0" applyNumberFormat="1" applyFont="1" applyAlignment="1">
      <alignment horizontal="left"/>
    </xf>
    <xf numFmtId="43" fontId="24" fillId="0" borderId="0" xfId="1" applyNumberFormat="1" applyFont="1" applyFill="1"/>
    <xf numFmtId="164" fontId="24" fillId="0" borderId="0" xfId="0" applyNumberFormat="1" applyFont="1"/>
    <xf numFmtId="0" fontId="25" fillId="0" borderId="0" xfId="0" applyFont="1" applyAlignment="1">
      <alignment horizontal="right" wrapText="1"/>
    </xf>
    <xf numFmtId="40" fontId="24" fillId="0" borderId="0" xfId="1" applyNumberFormat="1" applyFont="1"/>
    <xf numFmtId="40" fontId="25" fillId="0" borderId="0" xfId="1" applyNumberFormat="1" applyFont="1" applyAlignment="1">
      <alignment horizontal="right"/>
    </xf>
    <xf numFmtId="40" fontId="24" fillId="0" borderId="0" xfId="0" applyNumberFormat="1" applyFont="1"/>
    <xf numFmtId="40" fontId="24" fillId="0" borderId="0" xfId="0" applyNumberFormat="1" applyFont="1" applyAlignment="1">
      <alignment horizontal="left"/>
    </xf>
    <xf numFmtId="40" fontId="24" fillId="0" borderId="2" xfId="1" applyNumberFormat="1" applyFont="1" applyBorder="1"/>
    <xf numFmtId="40" fontId="25" fillId="0" borderId="2" xfId="1" applyNumberFormat="1" applyFont="1" applyBorder="1"/>
    <xf numFmtId="40" fontId="24" fillId="0" borderId="0" xfId="1" applyNumberFormat="1" applyFont="1" applyAlignment="1">
      <alignment horizontal="right"/>
    </xf>
    <xf numFmtId="40" fontId="24" fillId="0" borderId="0" xfId="0" applyNumberFormat="1" applyFont="1" applyAlignment="1">
      <alignment horizontal="right"/>
    </xf>
    <xf numFmtId="40" fontId="22" fillId="0" borderId="0" xfId="0" applyNumberFormat="1" applyFont="1" applyAlignment="1">
      <alignment horizontal="right" wrapText="1"/>
    </xf>
    <xf numFmtId="40" fontId="24" fillId="0" borderId="0" xfId="1" applyNumberFormat="1" applyFont="1" applyFill="1" applyAlignment="1">
      <alignment horizontal="right"/>
    </xf>
    <xf numFmtId="40" fontId="24" fillId="2" borderId="2" xfId="1" applyNumberFormat="1" applyFont="1" applyFill="1" applyBorder="1" applyAlignment="1">
      <alignment horizontal="right"/>
    </xf>
    <xf numFmtId="40" fontId="24" fillId="0" borderId="0" xfId="1" applyNumberFormat="1" applyFont="1" applyFill="1" applyBorder="1" applyAlignment="1">
      <alignment horizontal="right"/>
    </xf>
    <xf numFmtId="40" fontId="24" fillId="0" borderId="1" xfId="1" applyNumberFormat="1" applyFont="1" applyFill="1" applyBorder="1" applyAlignment="1">
      <alignment horizontal="right"/>
    </xf>
    <xf numFmtId="40" fontId="24" fillId="0" borderId="2" xfId="0" applyNumberFormat="1" applyFont="1" applyBorder="1" applyAlignment="1">
      <alignment horizontal="right"/>
    </xf>
    <xf numFmtId="40" fontId="24" fillId="0" borderId="0" xfId="1" applyNumberFormat="1" applyFont="1" applyAlignment="1">
      <alignment horizontal="right" wrapText="1"/>
    </xf>
    <xf numFmtId="40" fontId="24" fillId="0" borderId="0" xfId="1" applyNumberFormat="1" applyFont="1" applyBorder="1" applyAlignment="1">
      <alignment horizontal="right"/>
    </xf>
    <xf numFmtId="40" fontId="24" fillId="0" borderId="0" xfId="0" applyNumberFormat="1" applyFont="1" applyAlignment="1">
      <alignment horizontal="right" wrapText="1"/>
    </xf>
    <xf numFmtId="40" fontId="27" fillId="0" borderId="0" xfId="0" applyNumberFormat="1" applyFont="1" applyAlignment="1">
      <alignment horizontal="right"/>
    </xf>
    <xf numFmtId="40" fontId="24" fillId="0" borderId="0" xfId="1" applyNumberFormat="1" applyFont="1" applyFill="1" applyAlignment="1">
      <alignment horizontal="right" wrapText="1"/>
    </xf>
    <xf numFmtId="40" fontId="24" fillId="3" borderId="0" xfId="1" applyNumberFormat="1" applyFont="1" applyFill="1" applyAlignment="1">
      <alignment horizontal="right"/>
    </xf>
    <xf numFmtId="40" fontId="24" fillId="4" borderId="0" xfId="1" applyNumberFormat="1" applyFont="1" applyFill="1" applyAlignment="1">
      <alignment horizontal="right"/>
    </xf>
    <xf numFmtId="40" fontId="24" fillId="3" borderId="0" xfId="1" applyNumberFormat="1" applyFont="1" applyFill="1" applyBorder="1" applyAlignment="1">
      <alignment horizontal="right"/>
    </xf>
    <xf numFmtId="40" fontId="24" fillId="4" borderId="0" xfId="1" applyNumberFormat="1" applyFont="1" applyFill="1" applyBorder="1" applyAlignment="1">
      <alignment horizontal="right"/>
    </xf>
    <xf numFmtId="40" fontId="25" fillId="36" borderId="1" xfId="1" applyNumberFormat="1" applyFont="1" applyFill="1" applyBorder="1"/>
    <xf numFmtId="43" fontId="25" fillId="36" borderId="0" xfId="0" applyNumberFormat="1" applyFont="1" applyFill="1" applyAlignment="1">
      <alignment horizontal="left"/>
    </xf>
    <xf numFmtId="164" fontId="22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left" wrapText="1"/>
    </xf>
    <xf numFmtId="40" fontId="22" fillId="0" borderId="0" xfId="0" applyNumberFormat="1" applyFont="1" applyAlignment="1">
      <alignment horizontal="left" wrapText="1"/>
    </xf>
    <xf numFmtId="40" fontId="22" fillId="0" borderId="0" xfId="1" applyNumberFormat="1" applyFont="1" applyAlignment="1">
      <alignment horizontal="left" wrapText="1"/>
    </xf>
    <xf numFmtId="43" fontId="23" fillId="0" borderId="0" xfId="1" applyNumberFormat="1" applyFont="1" applyAlignment="1">
      <alignment horizontal="left"/>
    </xf>
    <xf numFmtId="40" fontId="24" fillId="0" borderId="0" xfId="1" applyNumberFormat="1" applyFont="1" applyAlignment="1">
      <alignment horizontal="left"/>
    </xf>
    <xf numFmtId="43" fontId="22" fillId="0" borderId="0" xfId="0" applyNumberFormat="1" applyFont="1" applyAlignment="1">
      <alignment horizontal="left" wrapText="1"/>
    </xf>
    <xf numFmtId="43" fontId="25" fillId="0" borderId="0" xfId="0" quotePrefix="1" applyNumberFormat="1" applyFont="1" applyAlignment="1">
      <alignment horizontal="center"/>
    </xf>
    <xf numFmtId="43" fontId="24" fillId="0" borderId="0" xfId="0" quotePrefix="1" applyNumberFormat="1" applyFont="1"/>
    <xf numFmtId="164" fontId="24" fillId="4" borderId="0" xfId="0" applyNumberFormat="1" applyFont="1" applyFill="1" applyAlignment="1">
      <alignment horizontal="center"/>
    </xf>
    <xf numFmtId="0" fontId="24" fillId="4" borderId="0" xfId="0" applyFont="1" applyFill="1" applyAlignment="1">
      <alignment wrapText="1"/>
    </xf>
    <xf numFmtId="40" fontId="24" fillId="4" borderId="0" xfId="0" applyNumberFormat="1" applyFont="1" applyFill="1" applyAlignment="1">
      <alignment horizontal="right"/>
    </xf>
    <xf numFmtId="164" fontId="24" fillId="4" borderId="0" xfId="0" quotePrefix="1" applyNumberFormat="1" applyFont="1" applyFill="1" applyAlignment="1">
      <alignment horizontal="center"/>
    </xf>
    <xf numFmtId="43" fontId="25" fillId="0" borderId="0" xfId="0" applyNumberFormat="1" applyFont="1" applyAlignment="1">
      <alignment horizontal="center"/>
    </xf>
    <xf numFmtId="40" fontId="24" fillId="0" borderId="17" xfId="1" applyNumberFormat="1" applyFont="1" applyBorder="1"/>
    <xf numFmtId="40" fontId="22" fillId="0" borderId="13" xfId="1" applyNumberFormat="1" applyFont="1" applyBorder="1" applyAlignment="1">
      <alignment horizontal="center"/>
    </xf>
    <xf numFmtId="9" fontId="24" fillId="0" borderId="0" xfId="47" applyFont="1"/>
    <xf numFmtId="40" fontId="24" fillId="0" borderId="15" xfId="1" quotePrefix="1" applyNumberFormat="1" applyFont="1" applyBorder="1" applyAlignment="1">
      <alignment horizontal="center"/>
    </xf>
    <xf numFmtId="43" fontId="25" fillId="0" borderId="0" xfId="0" applyNumberFormat="1" applyFont="1"/>
    <xf numFmtId="40" fontId="22" fillId="0" borderId="0" xfId="1" applyNumberFormat="1" applyFont="1" applyAlignment="1">
      <alignment horizontal="center"/>
    </xf>
    <xf numFmtId="43" fontId="24" fillId="3" borderId="0" xfId="0" applyNumberFormat="1" applyFont="1" applyFill="1" applyAlignment="1">
      <alignment horizontal="left"/>
    </xf>
    <xf numFmtId="43" fontId="24" fillId="0" borderId="2" xfId="1" applyNumberFormat="1" applyFont="1" applyBorder="1"/>
    <xf numFmtId="43" fontId="24" fillId="37" borderId="0" xfId="0" applyNumberFormat="1" applyFont="1" applyFill="1"/>
    <xf numFmtId="40" fontId="24" fillId="37" borderId="0" xfId="1" applyNumberFormat="1" applyFont="1" applyFill="1" applyAlignment="1">
      <alignment horizontal="right"/>
    </xf>
    <xf numFmtId="43" fontId="24" fillId="37" borderId="12" xfId="0" applyNumberFormat="1" applyFont="1" applyFill="1" applyBorder="1"/>
    <xf numFmtId="38" fontId="24" fillId="0" borderId="0" xfId="0" applyNumberFormat="1" applyFont="1" applyAlignment="1">
      <alignment horizontal="right"/>
    </xf>
    <xf numFmtId="40" fontId="30" fillId="0" borderId="0" xfId="0" applyNumberFormat="1" applyFont="1" applyAlignment="1">
      <alignment horizontal="right" wrapText="1"/>
    </xf>
    <xf numFmtId="43" fontId="31" fillId="0" borderId="0" xfId="0" quotePrefix="1" applyNumberFormat="1" applyFont="1" applyAlignment="1">
      <alignment horizontal="center"/>
    </xf>
    <xf numFmtId="43" fontId="24" fillId="4" borderId="0" xfId="0" applyNumberFormat="1" applyFont="1" applyFill="1" applyAlignment="1">
      <alignment horizontal="left"/>
    </xf>
    <xf numFmtId="43" fontId="26" fillId="0" borderId="14" xfId="0" applyNumberFormat="1" applyFont="1" applyBorder="1" applyAlignment="1">
      <alignment horizontal="center"/>
    </xf>
    <xf numFmtId="40" fontId="24" fillId="0" borderId="16" xfId="0" applyNumberFormat="1" applyFont="1" applyBorder="1" applyAlignment="1">
      <alignment horizontal="right"/>
    </xf>
    <xf numFmtId="40" fontId="24" fillId="0" borderId="16" xfId="0" applyNumberFormat="1" applyFont="1" applyBorder="1"/>
    <xf numFmtId="43" fontId="24" fillId="0" borderId="18" xfId="0" applyNumberFormat="1" applyFont="1" applyBorder="1" applyAlignment="1">
      <alignment horizontal="left"/>
    </xf>
    <xf numFmtId="40" fontId="24" fillId="0" borderId="0" xfId="1" applyNumberFormat="1" applyFont="1" applyBorder="1"/>
    <xf numFmtId="43" fontId="25" fillId="37" borderId="0" xfId="0" applyNumberFormat="1" applyFont="1" applyFill="1"/>
    <xf numFmtId="40" fontId="24" fillId="0" borderId="0" xfId="1" applyNumberFormat="1" applyFont="1" applyAlignment="1"/>
    <xf numFmtId="40" fontId="24" fillId="0" borderId="2" xfId="1" applyNumberFormat="1" applyFont="1" applyBorder="1" applyAlignment="1"/>
    <xf numFmtId="40" fontId="25" fillId="0" borderId="2" xfId="1" applyNumberFormat="1" applyFont="1" applyBorder="1" applyAlignment="1"/>
    <xf numFmtId="40" fontId="25" fillId="36" borderId="1" xfId="1" applyNumberFormat="1" applyFont="1" applyFill="1" applyBorder="1" applyAlignment="1"/>
    <xf numFmtId="40" fontId="24" fillId="0" borderId="17" xfId="1" applyNumberFormat="1" applyFont="1" applyBorder="1" applyAlignment="1"/>
    <xf numFmtId="40" fontId="24" fillId="0" borderId="0" xfId="1" applyNumberFormat="1" applyFont="1" applyBorder="1" applyAlignment="1"/>
    <xf numFmtId="40" fontId="24" fillId="0" borderId="0" xfId="1" applyNumberFormat="1" applyFont="1" applyFill="1" applyAlignment="1"/>
    <xf numFmtId="0" fontId="22" fillId="0" borderId="0" xfId="0" applyFont="1" applyAlignment="1">
      <alignment wrapText="1"/>
    </xf>
    <xf numFmtId="40" fontId="22" fillId="0" borderId="0" xfId="0" applyNumberFormat="1" applyFont="1" applyAlignment="1">
      <alignment wrapText="1"/>
    </xf>
    <xf numFmtId="43" fontId="22" fillId="0" borderId="0" xfId="0" applyNumberFormat="1" applyFont="1" applyAlignment="1">
      <alignment wrapText="1"/>
    </xf>
    <xf numFmtId="40" fontId="24" fillId="0" borderId="0" xfId="0" applyNumberFormat="1" applyFont="1" applyAlignment="1">
      <alignment wrapText="1"/>
    </xf>
    <xf numFmtId="40" fontId="24" fillId="0" borderId="0" xfId="1" applyNumberFormat="1" applyFont="1" applyFill="1" applyAlignment="1">
      <alignment wrapText="1"/>
    </xf>
    <xf numFmtId="40" fontId="24" fillId="38" borderId="0" xfId="1" applyNumberFormat="1" applyFont="1" applyFill="1" applyAlignment="1"/>
    <xf numFmtId="40" fontId="24" fillId="0" borderId="0" xfId="1" applyNumberFormat="1" applyFont="1" applyAlignment="1">
      <alignment wrapText="1"/>
    </xf>
    <xf numFmtId="40" fontId="24" fillId="3" borderId="0" xfId="1" applyNumberFormat="1" applyFont="1" applyFill="1" applyAlignment="1"/>
    <xf numFmtId="40" fontId="25" fillId="0" borderId="0" xfId="1" applyNumberFormat="1" applyFont="1" applyAlignment="1"/>
    <xf numFmtId="40" fontId="24" fillId="37" borderId="0" xfId="1" applyNumberFormat="1" applyFont="1" applyFill="1" applyAlignment="1"/>
    <xf numFmtId="43" fontId="25" fillId="0" borderId="0" xfId="0" quotePrefix="1" applyNumberFormat="1" applyFont="1"/>
    <xf numFmtId="40" fontId="24" fillId="2" borderId="2" xfId="1" applyNumberFormat="1" applyFont="1" applyFill="1" applyBorder="1" applyAlignment="1"/>
    <xf numFmtId="43" fontId="24" fillId="3" borderId="0" xfId="0" applyNumberFormat="1" applyFont="1" applyFill="1"/>
    <xf numFmtId="43" fontId="31" fillId="0" borderId="0" xfId="0" quotePrefix="1" applyNumberFormat="1" applyFont="1"/>
    <xf numFmtId="40" fontId="24" fillId="4" borderId="0" xfId="1" applyNumberFormat="1" applyFont="1" applyFill="1" applyBorder="1" applyAlignment="1"/>
    <xf numFmtId="40" fontId="24" fillId="0" borderId="2" xfId="0" applyNumberFormat="1" applyFont="1" applyBorder="1"/>
    <xf numFmtId="43" fontId="25" fillId="36" borderId="0" xfId="0" applyNumberFormat="1" applyFont="1" applyFill="1"/>
    <xf numFmtId="40" fontId="24" fillId="38" borderId="0" xfId="0" applyNumberFormat="1" applyFont="1" applyFill="1"/>
    <xf numFmtId="40" fontId="24" fillId="4" borderId="0" xfId="1" applyNumberFormat="1" applyFont="1" applyFill="1" applyAlignment="1"/>
    <xf numFmtId="40" fontId="24" fillId="4" borderId="0" xfId="0" applyNumberFormat="1" applyFont="1" applyFill="1"/>
    <xf numFmtId="40" fontId="22" fillId="0" borderId="13" xfId="1" applyNumberFormat="1" applyFont="1" applyBorder="1" applyAlignment="1"/>
    <xf numFmtId="43" fontId="26" fillId="0" borderId="14" xfId="0" applyNumberFormat="1" applyFont="1" applyBorder="1"/>
    <xf numFmtId="40" fontId="24" fillId="0" borderId="0" xfId="1" applyNumberFormat="1" applyFont="1" applyFill="1" applyBorder="1" applyAlignment="1"/>
    <xf numFmtId="40" fontId="24" fillId="0" borderId="15" xfId="1" quotePrefix="1" applyNumberFormat="1" applyFont="1" applyBorder="1" applyAlignment="1"/>
    <xf numFmtId="43" fontId="24" fillId="0" borderId="18" xfId="0" applyNumberFormat="1" applyFont="1" applyBorder="1"/>
    <xf numFmtId="40" fontId="24" fillId="0" borderId="1" xfId="1" applyNumberFormat="1" applyFont="1" applyFill="1" applyBorder="1" applyAlignment="1"/>
    <xf numFmtId="49" fontId="24" fillId="0" borderId="0" xfId="0" applyNumberFormat="1" applyFont="1"/>
    <xf numFmtId="49" fontId="24" fillId="0" borderId="0" xfId="0" quotePrefix="1" applyNumberFormat="1" applyFont="1"/>
    <xf numFmtId="0" fontId="22" fillId="0" borderId="0" xfId="0" applyFont="1"/>
    <xf numFmtId="44" fontId="24" fillId="0" borderId="0" xfId="0" applyNumberFormat="1" applyFont="1"/>
    <xf numFmtId="0" fontId="24" fillId="4" borderId="0" xfId="0" applyFont="1" applyFill="1"/>
    <xf numFmtId="0" fontId="25" fillId="0" borderId="0" xfId="0" applyFont="1"/>
    <xf numFmtId="49" fontId="22" fillId="0" borderId="0" xfId="0" applyNumberFormat="1" applyFont="1"/>
    <xf numFmtId="49" fontId="24" fillId="4" borderId="0" xfId="0" applyNumberFormat="1" applyFont="1" applyFill="1"/>
    <xf numFmtId="49" fontId="24" fillId="4" borderId="0" xfId="0" quotePrefix="1" applyNumberFormat="1" applyFont="1" applyFill="1"/>
    <xf numFmtId="40" fontId="22" fillId="0" borderId="0" xfId="0" applyNumberFormat="1" applyFont="1" applyAlignment="1">
      <alignment horizontal="center" vertical="center" wrapText="1"/>
    </xf>
    <xf numFmtId="40" fontId="22" fillId="0" borderId="0" xfId="1" applyNumberFormat="1" applyFont="1" applyAlignment="1">
      <alignment horizontal="center" vertical="center" wrapText="1"/>
    </xf>
    <xf numFmtId="43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0" fontId="23" fillId="0" borderId="0" xfId="1" applyNumberFormat="1" applyFont="1" applyAlignment="1">
      <alignment horizontal="center" vertical="center" wrapText="1"/>
    </xf>
    <xf numFmtId="40" fontId="24" fillId="0" borderId="0" xfId="1" applyNumberFormat="1" applyFont="1" applyAlignment="1">
      <alignment horizontal="center" vertical="center" wrapText="1"/>
    </xf>
    <xf numFmtId="43" fontId="24" fillId="0" borderId="0" xfId="0" applyNumberFormat="1" applyFont="1" applyAlignment="1">
      <alignment horizontal="center" vertical="center" wrapText="1"/>
    </xf>
    <xf numFmtId="43" fontId="24" fillId="39" borderId="0" xfId="0" applyNumberFormat="1" applyFont="1" applyFill="1"/>
    <xf numFmtId="40" fontId="27" fillId="0" borderId="0" xfId="1" applyNumberFormat="1" applyFont="1" applyAlignment="1"/>
    <xf numFmtId="40" fontId="31" fillId="3" borderId="19" xfId="0" applyNumberFormat="1" applyFont="1" applyFill="1" applyBorder="1"/>
    <xf numFmtId="43" fontId="31" fillId="3" borderId="20" xfId="0" applyNumberFormat="1" applyFont="1" applyFill="1" applyBorder="1"/>
    <xf numFmtId="40" fontId="27" fillId="0" borderId="0" xfId="0" applyNumberFormat="1" applyFont="1"/>
    <xf numFmtId="40" fontId="30" fillId="0" borderId="0" xfId="0" applyNumberFormat="1" applyFont="1" applyAlignment="1">
      <alignment wrapText="1"/>
    </xf>
    <xf numFmtId="40" fontId="24" fillId="40" borderId="0" xfId="1" applyNumberFormat="1" applyFont="1" applyFill="1" applyAlignment="1"/>
    <xf numFmtId="40" fontId="24" fillId="41" borderId="0" xfId="1" applyNumberFormat="1" applyFont="1" applyFill="1" applyAlignment="1"/>
    <xf numFmtId="40" fontId="24" fillId="41" borderId="0" xfId="1" applyNumberFormat="1" applyFont="1" applyFill="1" applyBorder="1" applyAlignment="1"/>
    <xf numFmtId="40" fontId="24" fillId="41" borderId="0" xfId="0" applyNumberFormat="1" applyFont="1" applyFill="1"/>
    <xf numFmtId="43" fontId="24" fillId="41" borderId="0" xfId="0" applyNumberFormat="1" applyFont="1" applyFill="1"/>
    <xf numFmtId="40" fontId="24" fillId="42" borderId="0" xfId="1" applyNumberFormat="1" applyFont="1" applyFill="1" applyAlignment="1"/>
    <xf numFmtId="43" fontId="24" fillId="42" borderId="0" xfId="0" applyNumberFormat="1" applyFont="1" applyFill="1"/>
    <xf numFmtId="0" fontId="24" fillId="42" borderId="0" xfId="0" applyFont="1" applyFill="1"/>
    <xf numFmtId="40" fontId="25" fillId="42" borderId="0" xfId="1" applyNumberFormat="1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/>
    </xf>
    <xf numFmtId="43" fontId="24" fillId="0" borderId="1" xfId="0" quotePrefix="1" applyNumberFormat="1" applyFont="1" applyBorder="1"/>
    <xf numFmtId="43" fontId="24" fillId="37" borderId="0" xfId="0" applyNumberFormat="1" applyFont="1" applyFill="1" applyAlignment="1">
      <alignment wrapText="1"/>
    </xf>
    <xf numFmtId="40" fontId="24" fillId="0" borderId="2" xfId="1" applyNumberFormat="1" applyFont="1" applyFill="1" applyBorder="1" applyAlignment="1"/>
  </cellXfs>
  <cellStyles count="67">
    <cellStyle name="20% - Accent1" xfId="22" builtinId="30" customBuiltin="1"/>
    <cellStyle name="20% - Accent1 2" xfId="52" xr:uid="{00000000-0005-0000-0000-000001000000}"/>
    <cellStyle name="20% - Accent2" xfId="26" builtinId="34" customBuiltin="1"/>
    <cellStyle name="20% - Accent2 2" xfId="54" xr:uid="{00000000-0005-0000-0000-000003000000}"/>
    <cellStyle name="20% - Accent3" xfId="30" builtinId="38" customBuiltin="1"/>
    <cellStyle name="20% - Accent3 2" xfId="56" xr:uid="{00000000-0005-0000-0000-000005000000}"/>
    <cellStyle name="20% - Accent4" xfId="34" builtinId="42" customBuiltin="1"/>
    <cellStyle name="20% - Accent4 2" xfId="58" xr:uid="{00000000-0005-0000-0000-000007000000}"/>
    <cellStyle name="20% - Accent5" xfId="38" builtinId="46" customBuiltin="1"/>
    <cellStyle name="20% - Accent5 2" xfId="60" xr:uid="{00000000-0005-0000-0000-000009000000}"/>
    <cellStyle name="20% - Accent6" xfId="42" builtinId="50" customBuiltin="1"/>
    <cellStyle name="20% - Accent6 2" xfId="62" xr:uid="{00000000-0005-0000-0000-00000B000000}"/>
    <cellStyle name="40% - Accent1" xfId="23" builtinId="31" customBuiltin="1"/>
    <cellStyle name="40% - Accent1 2" xfId="53" xr:uid="{00000000-0005-0000-0000-00000D000000}"/>
    <cellStyle name="40% - Accent2" xfId="27" builtinId="35" customBuiltin="1"/>
    <cellStyle name="40% - Accent2 2" xfId="55" xr:uid="{00000000-0005-0000-0000-00000F000000}"/>
    <cellStyle name="40% - Accent3" xfId="31" builtinId="39" customBuiltin="1"/>
    <cellStyle name="40% - Accent3 2" xfId="57" xr:uid="{00000000-0005-0000-0000-000011000000}"/>
    <cellStyle name="40% - Accent4" xfId="35" builtinId="43" customBuiltin="1"/>
    <cellStyle name="40% - Accent4 2" xfId="59" xr:uid="{00000000-0005-0000-0000-000013000000}"/>
    <cellStyle name="40% - Accent5" xfId="39" builtinId="47" customBuiltin="1"/>
    <cellStyle name="40% - Accent5 2" xfId="61" xr:uid="{00000000-0005-0000-0000-000015000000}"/>
    <cellStyle name="40% - Accent6" xfId="43" builtinId="51" customBuiltin="1"/>
    <cellStyle name="40% - Accent6 2" xfId="63" xr:uid="{00000000-0005-0000-0000-00001700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urrency" xfId="1" builtinId="4"/>
    <cellStyle name="Currency 2" xfId="2" xr:uid="{00000000-0005-0000-0000-000028000000}"/>
    <cellStyle name="Currency 2 2" xfId="49" xr:uid="{00000000-0005-0000-0000-00002900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 xr:uid="{00000000-0005-0000-0000-000034000000}"/>
    <cellStyle name="Normal 2 2" xfId="50" xr:uid="{00000000-0005-0000-0000-000035000000}"/>
    <cellStyle name="Normal 3" xfId="45" xr:uid="{00000000-0005-0000-0000-000036000000}"/>
    <cellStyle name="Normal 3 2" xfId="64" xr:uid="{00000000-0005-0000-0000-000037000000}"/>
    <cellStyle name="Normal 4" xfId="48" xr:uid="{00000000-0005-0000-0000-000038000000}"/>
    <cellStyle name="Note 2" xfId="46" xr:uid="{00000000-0005-0000-0000-000039000000}"/>
    <cellStyle name="Note 2 2" xfId="65" xr:uid="{00000000-0005-0000-0000-00003A000000}"/>
    <cellStyle name="Output" xfId="14" builtinId="21" customBuiltin="1"/>
    <cellStyle name="Percent" xfId="47" builtinId="5"/>
    <cellStyle name="Percent 2" xfId="4" xr:uid="{00000000-0005-0000-0000-00003D000000}"/>
    <cellStyle name="Percent 2 2" xfId="51" xr:uid="{00000000-0005-0000-0000-00003E000000}"/>
    <cellStyle name="Percent 3" xfId="66" xr:uid="{00000000-0005-0000-0000-00003F000000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6600"/>
      <color rgb="FF99FFCC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28574</xdr:colOff>
      <xdr:row>2</xdr:row>
      <xdr:rowOff>0</xdr:rowOff>
    </xdr:from>
    <xdr:to>
      <xdr:col>11</xdr:col>
      <xdr:colOff>285749</xdr:colOff>
      <xdr:row>11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2677774" y="600075"/>
          <a:ext cx="257175" cy="1552575"/>
        </a:xfrm>
        <a:prstGeom prst="rightBrace">
          <a:avLst>
            <a:gd name="adj1" fmla="val 73611"/>
            <a:gd name="adj2" fmla="val 51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14</xdr:row>
      <xdr:rowOff>47625</xdr:rowOff>
    </xdr:from>
    <xdr:to>
      <xdr:col>11</xdr:col>
      <xdr:colOff>180975</xdr:colOff>
      <xdr:row>21</xdr:row>
      <xdr:rowOff>123825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12696825" y="2533650"/>
          <a:ext cx="133350" cy="1085850"/>
        </a:xfrm>
        <a:prstGeom prst="rightBrace">
          <a:avLst>
            <a:gd name="adj1" fmla="val 85714"/>
            <a:gd name="adj2" fmla="val 5172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85724</xdr:colOff>
      <xdr:row>68</xdr:row>
      <xdr:rowOff>46038</xdr:rowOff>
    </xdr:from>
    <xdr:to>
      <xdr:col>13</xdr:col>
      <xdr:colOff>104775</xdr:colOff>
      <xdr:row>68</xdr:row>
      <xdr:rowOff>47625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>
          <a:off x="12925424" y="11323638"/>
          <a:ext cx="2019301" cy="158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19049</xdr:colOff>
      <xdr:row>66</xdr:row>
      <xdr:rowOff>133350</xdr:rowOff>
    </xdr:from>
    <xdr:to>
      <xdr:col>11</xdr:col>
      <xdr:colOff>142874</xdr:colOff>
      <xdr:row>70</xdr:row>
      <xdr:rowOff>9525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2668249" y="10077450"/>
          <a:ext cx="123825" cy="45720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28574</xdr:colOff>
      <xdr:row>2</xdr:row>
      <xdr:rowOff>0</xdr:rowOff>
    </xdr:from>
    <xdr:to>
      <xdr:col>11</xdr:col>
      <xdr:colOff>285749</xdr:colOff>
      <xdr:row>12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2668249" y="600075"/>
          <a:ext cx="257175" cy="1666875"/>
        </a:xfrm>
        <a:prstGeom prst="rightBrace">
          <a:avLst>
            <a:gd name="adj1" fmla="val 73611"/>
            <a:gd name="adj2" fmla="val 51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47625</xdr:rowOff>
    </xdr:from>
    <xdr:to>
      <xdr:col>11</xdr:col>
      <xdr:colOff>180975</xdr:colOff>
      <xdr:row>22</xdr:row>
      <xdr:rowOff>123825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12687300" y="2676525"/>
          <a:ext cx="133350" cy="1085850"/>
        </a:xfrm>
        <a:prstGeom prst="rightBrace">
          <a:avLst>
            <a:gd name="adj1" fmla="val 85714"/>
            <a:gd name="adj2" fmla="val 5172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142874</xdr:colOff>
      <xdr:row>69</xdr:row>
      <xdr:rowOff>14288</xdr:rowOff>
    </xdr:from>
    <xdr:to>
      <xdr:col>13</xdr:col>
      <xdr:colOff>971550</xdr:colOff>
      <xdr:row>78</xdr:row>
      <xdr:rowOff>142875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 bwMode="auto">
        <a:xfrm>
          <a:off x="12792074" y="10244138"/>
          <a:ext cx="2828926" cy="159543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19049</xdr:colOff>
      <xdr:row>67</xdr:row>
      <xdr:rowOff>133350</xdr:rowOff>
    </xdr:from>
    <xdr:to>
      <xdr:col>11</xdr:col>
      <xdr:colOff>142874</xdr:colOff>
      <xdr:row>71</xdr:row>
      <xdr:rowOff>9525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12658724" y="10429875"/>
          <a:ext cx="123825" cy="30480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MU-RS/TAMRA/Reporting%20-%20Killion/Reports/AFR_Annual%20Financial%20Report/afr%202022/TAMU%20SEFA/IV%20Fund%20Reports_Recon/2022_recon_fed%20revexp_tamu%20W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"/>
      <sheetName val="2021"/>
      <sheetName val="2021 FBAR231"/>
      <sheetName val="2020"/>
      <sheetName val="2019"/>
      <sheetName val="2018"/>
      <sheetName val="2017"/>
      <sheetName val="2016"/>
      <sheetName val="2015"/>
    </sheetNames>
    <sheetDataSet>
      <sheetData sheetId="0">
        <row r="18">
          <cell r="G18">
            <v>3697000</v>
          </cell>
        </row>
        <row r="28">
          <cell r="F28">
            <v>-491391449.89999998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8"/>
  <sheetViews>
    <sheetView tabSelected="1" zoomScaleNormal="100" workbookViewId="0">
      <pane xSplit="2" ySplit="1" topLeftCell="G13" activePane="bottomRight" state="frozenSplit"/>
      <selection activeCell="T4" sqref="T4"/>
      <selection pane="topRight" activeCell="T4" sqref="T4"/>
      <selection pane="bottomLeft" activeCell="T4" sqref="T4"/>
      <selection pane="bottomRight" activeCell="U19" sqref="U19"/>
    </sheetView>
  </sheetViews>
  <sheetFormatPr defaultColWidth="9.140625" defaultRowHeight="12.75" customHeight="1" x14ac:dyDescent="0.3"/>
  <cols>
    <col min="1" max="1" width="17.28515625" style="111" customWidth="1"/>
    <col min="2" max="2" width="48.140625" style="11" customWidth="1"/>
    <col min="3" max="3" width="15.85546875" style="20" customWidth="1"/>
    <col min="4" max="4" width="14.42578125" style="20" customWidth="1"/>
    <col min="5" max="5" width="13.5703125" style="20" customWidth="1"/>
    <col min="6" max="6" width="13.42578125" style="20" customWidth="1"/>
    <col min="7" max="7" width="13.5703125" style="20" customWidth="1"/>
    <col min="8" max="8" width="12.140625" style="20" customWidth="1"/>
    <col min="9" max="9" width="13.7109375" style="20" customWidth="1"/>
    <col min="10" max="10" width="13.42578125" style="20" customWidth="1"/>
    <col min="11" max="11" width="13.85546875" style="20" customWidth="1"/>
    <col min="12" max="12" width="15.5703125" style="78" customWidth="1"/>
    <col min="13" max="13" width="10.140625" style="78" customWidth="1"/>
    <col min="14" max="14" width="2.28515625" customWidth="1"/>
    <col min="15" max="15" width="13.85546875" style="78" customWidth="1"/>
    <col min="16" max="16" width="15.28515625" style="5" customWidth="1"/>
    <col min="17" max="17" width="19.7109375" style="5" customWidth="1"/>
    <col min="18" max="18" width="11.42578125" style="5" customWidth="1"/>
    <col min="19" max="19" width="21.140625" style="5" customWidth="1"/>
    <col min="20" max="20" width="10.5703125" style="5" customWidth="1"/>
    <col min="21" max="21" width="8.7109375" style="5" customWidth="1"/>
    <col min="22" max="22" width="9.140625" style="5"/>
    <col min="23" max="23" width="10.5703125" style="5" customWidth="1"/>
    <col min="24" max="39" width="9.140625" style="5"/>
    <col min="40" max="16384" width="9.140625" style="11"/>
  </cols>
  <sheetData>
    <row r="1" spans="1:39" s="123" customFormat="1" ht="40.5" x14ac:dyDescent="0.2">
      <c r="A1" s="124" t="s">
        <v>38</v>
      </c>
      <c r="B1" s="123" t="s">
        <v>0</v>
      </c>
      <c r="C1" s="120" t="s">
        <v>10</v>
      </c>
      <c r="D1" s="120" t="s">
        <v>11</v>
      </c>
      <c r="E1" s="120" t="s">
        <v>12</v>
      </c>
      <c r="F1" s="120" t="s">
        <v>1</v>
      </c>
      <c r="G1" s="120" t="s">
        <v>13</v>
      </c>
      <c r="H1" s="120" t="s">
        <v>14</v>
      </c>
      <c r="I1" s="120" t="s">
        <v>59</v>
      </c>
      <c r="J1" s="120" t="s">
        <v>75</v>
      </c>
      <c r="K1" s="120" t="s">
        <v>15</v>
      </c>
      <c r="L1" s="121" t="s">
        <v>66</v>
      </c>
      <c r="M1" s="125" t="s">
        <v>63</v>
      </c>
      <c r="N1"/>
      <c r="O1" s="126"/>
      <c r="P1" s="127"/>
      <c r="Q1" s="127"/>
      <c r="R1" s="127"/>
      <c r="S1" s="127"/>
      <c r="T1" s="127"/>
      <c r="U1" s="127"/>
      <c r="V1" s="127"/>
      <c r="W1" s="127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</row>
    <row r="2" spans="1:39" s="85" customFormat="1" ht="14.25" x14ac:dyDescent="0.3">
      <c r="A2" s="117" t="s">
        <v>16</v>
      </c>
      <c r="B2" s="113"/>
      <c r="C2" s="86"/>
      <c r="D2" s="86"/>
      <c r="E2" s="86"/>
      <c r="F2" s="86"/>
      <c r="G2" s="86"/>
      <c r="H2" s="86"/>
      <c r="I2" s="86"/>
      <c r="J2" s="86"/>
      <c r="K2" s="86"/>
      <c r="L2" s="78"/>
      <c r="M2" s="78"/>
      <c r="N2"/>
      <c r="O2" s="142" t="s">
        <v>194</v>
      </c>
      <c r="P2" s="140"/>
      <c r="Q2" s="140"/>
      <c r="R2" s="5"/>
      <c r="S2" s="5"/>
      <c r="T2" s="5"/>
      <c r="U2" s="5"/>
      <c r="V2" s="5"/>
      <c r="W2" s="5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</row>
    <row r="3" spans="1:39" s="85" customFormat="1" ht="12.75" customHeight="1" x14ac:dyDescent="0.3">
      <c r="A3" s="111" t="s">
        <v>139</v>
      </c>
      <c r="B3" s="11" t="s">
        <v>4</v>
      </c>
      <c r="C3" s="86"/>
      <c r="D3" s="88"/>
      <c r="E3" s="89"/>
      <c r="F3" s="84">
        <f t="shared" ref="F3:F12" si="0">SUM(C3:E3)</f>
        <v>0</v>
      </c>
      <c r="G3" s="84">
        <v>101387765.97</v>
      </c>
      <c r="H3" s="86"/>
      <c r="I3" s="91"/>
      <c r="J3" s="89"/>
      <c r="K3" s="84">
        <f t="shared" ref="K3:K12" si="1">F3+G3+H3+I3+J3</f>
        <v>101387765.97</v>
      </c>
      <c r="L3" s="78"/>
      <c r="M3" s="78"/>
      <c r="N3"/>
      <c r="O3" s="78" t="s">
        <v>139</v>
      </c>
      <c r="P3" s="51">
        <f>K3</f>
        <v>101387765.97</v>
      </c>
      <c r="Q3" s="143"/>
      <c r="R3" s="5"/>
      <c r="S3" s="5"/>
      <c r="T3" s="5"/>
      <c r="U3" s="5"/>
      <c r="V3" s="5"/>
      <c r="W3" s="5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1:39" s="85" customFormat="1" ht="12.75" customHeight="1" x14ac:dyDescent="0.3">
      <c r="A4" s="111" t="s">
        <v>140</v>
      </c>
      <c r="B4" s="11" t="s">
        <v>26</v>
      </c>
      <c r="C4" s="86"/>
      <c r="D4" s="86"/>
      <c r="E4" s="89"/>
      <c r="F4" s="84">
        <f t="shared" si="0"/>
        <v>0</v>
      </c>
      <c r="G4" s="88">
        <v>0</v>
      </c>
      <c r="H4" s="91"/>
      <c r="I4" s="91"/>
      <c r="J4" s="91"/>
      <c r="K4" s="84">
        <f t="shared" si="1"/>
        <v>0</v>
      </c>
      <c r="L4" s="78"/>
      <c r="M4" s="78"/>
      <c r="N4"/>
      <c r="O4" s="78" t="s">
        <v>139</v>
      </c>
      <c r="P4" s="51">
        <v>-7557</v>
      </c>
      <c r="Q4" s="143" t="s">
        <v>196</v>
      </c>
      <c r="R4" s="5"/>
      <c r="T4" s="5" t="s">
        <v>86</v>
      </c>
      <c r="U4" s="5"/>
      <c r="V4" s="5"/>
      <c r="W4" s="5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39" s="85" customFormat="1" ht="12.75" customHeight="1" x14ac:dyDescent="0.3">
      <c r="A5" s="111" t="s">
        <v>141</v>
      </c>
      <c r="B5" s="11" t="s">
        <v>17</v>
      </c>
      <c r="C5" s="86"/>
      <c r="D5" s="86"/>
      <c r="E5" s="86"/>
      <c r="F5" s="84">
        <f t="shared" si="0"/>
        <v>0</v>
      </c>
      <c r="G5" s="88">
        <v>14735472.199999999</v>
      </c>
      <c r="H5" s="91"/>
      <c r="I5" s="91"/>
      <c r="J5" s="91"/>
      <c r="K5" s="84">
        <f t="shared" si="1"/>
        <v>14735472.199999999</v>
      </c>
      <c r="M5" s="78"/>
      <c r="N5"/>
      <c r="O5" s="78" t="s">
        <v>87</v>
      </c>
      <c r="P5" s="51">
        <v>212274726.81999999</v>
      </c>
      <c r="Q5" s="143" t="s">
        <v>198</v>
      </c>
      <c r="R5" s="5"/>
      <c r="S5" s="146" t="s">
        <v>98</v>
      </c>
      <c r="T5" s="94">
        <v>0</v>
      </c>
      <c r="U5" s="95" t="s">
        <v>105</v>
      </c>
      <c r="V5" s="51" t="s">
        <v>87</v>
      </c>
      <c r="W5" s="5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s="85" customFormat="1" ht="12.75" customHeight="1" x14ac:dyDescent="0.3">
      <c r="A6" s="112" t="s">
        <v>186</v>
      </c>
      <c r="B6" s="11" t="s">
        <v>88</v>
      </c>
      <c r="C6" s="86"/>
      <c r="D6" s="86"/>
      <c r="E6" s="86"/>
      <c r="F6" s="84">
        <f t="shared" si="0"/>
        <v>0</v>
      </c>
      <c r="G6" s="89">
        <f>5325807.82+18561</f>
        <v>5344368.82</v>
      </c>
      <c r="H6" s="91"/>
      <c r="I6" s="91"/>
      <c r="J6" s="91"/>
      <c r="K6" s="84">
        <f t="shared" si="1"/>
        <v>5344368.82</v>
      </c>
      <c r="L6" s="93"/>
      <c r="M6" s="129"/>
      <c r="N6"/>
      <c r="O6" s="78" t="s">
        <v>87</v>
      </c>
      <c r="P6" s="51">
        <f>-T8</f>
        <v>-18561</v>
      </c>
      <c r="Q6" s="143" t="s">
        <v>197</v>
      </c>
      <c r="R6" s="5"/>
      <c r="S6" s="5"/>
      <c r="T6" s="128">
        <v>15310</v>
      </c>
      <c r="U6" s="98" t="s">
        <v>128</v>
      </c>
      <c r="V6" s="51" t="s">
        <v>87</v>
      </c>
      <c r="W6" s="5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</row>
    <row r="7" spans="1:39" s="85" customFormat="1" ht="12.75" customHeight="1" x14ac:dyDescent="0.3">
      <c r="A7" s="111" t="s">
        <v>142</v>
      </c>
      <c r="B7" s="11" t="s">
        <v>42</v>
      </c>
      <c r="C7" s="86"/>
      <c r="D7" s="133"/>
      <c r="E7" s="86"/>
      <c r="F7" s="84">
        <f t="shared" si="0"/>
        <v>0</v>
      </c>
      <c r="G7" s="89">
        <v>9878064.4600000009</v>
      </c>
      <c r="H7" s="91"/>
      <c r="I7" s="91"/>
      <c r="J7" s="91"/>
      <c r="K7" s="84">
        <f t="shared" si="1"/>
        <v>9878064.4600000009</v>
      </c>
      <c r="L7" s="19" t="s">
        <v>138</v>
      </c>
      <c r="M7" s="78"/>
      <c r="N7"/>
      <c r="O7" s="78" t="s">
        <v>122</v>
      </c>
      <c r="P7" s="51">
        <f>K68</f>
        <v>56184951</v>
      </c>
      <c r="Q7" s="143" t="s">
        <v>199</v>
      </c>
      <c r="R7" s="5"/>
      <c r="S7" s="5"/>
      <c r="T7" s="128">
        <v>3251</v>
      </c>
      <c r="U7" s="98" t="s">
        <v>97</v>
      </c>
      <c r="V7" s="51" t="s">
        <v>87</v>
      </c>
      <c r="W7" s="5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</row>
    <row r="8" spans="1:39" s="85" customFormat="1" ht="12.75" customHeight="1" thickBot="1" x14ac:dyDescent="0.35">
      <c r="A8" s="111" t="s">
        <v>143</v>
      </c>
      <c r="B8" s="11" t="s">
        <v>27</v>
      </c>
      <c r="C8" s="89"/>
      <c r="D8" s="89">
        <v>5604298.5999999996</v>
      </c>
      <c r="E8" s="86"/>
      <c r="F8" s="84">
        <f t="shared" si="0"/>
        <v>5604298.5999999996</v>
      </c>
      <c r="G8" s="86"/>
      <c r="H8" s="91"/>
      <c r="I8" s="91"/>
      <c r="J8" s="91"/>
      <c r="K8" s="84">
        <f t="shared" si="1"/>
        <v>5604298.5999999996</v>
      </c>
      <c r="L8" s="93"/>
      <c r="M8" s="78"/>
      <c r="N8"/>
      <c r="O8" s="78" t="s">
        <v>115</v>
      </c>
      <c r="P8" s="51">
        <f>K71</f>
        <v>41542466</v>
      </c>
      <c r="Q8" s="143" t="s">
        <v>200</v>
      </c>
      <c r="R8" s="5"/>
      <c r="S8" s="5"/>
      <c r="T8" s="67">
        <f>SUM(T5:T7)</f>
        <v>18561</v>
      </c>
      <c r="U8" s="61"/>
      <c r="V8" s="5"/>
      <c r="W8" s="5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</row>
    <row r="9" spans="1:39" ht="12.75" customHeight="1" x14ac:dyDescent="0.3">
      <c r="A9" s="111" t="s">
        <v>184</v>
      </c>
      <c r="B9" s="11" t="s">
        <v>2</v>
      </c>
      <c r="C9" s="84"/>
      <c r="D9" s="107">
        <f>19628560.43+163.78</f>
        <v>19628724.210000001</v>
      </c>
      <c r="E9" s="86"/>
      <c r="F9" s="84">
        <f t="shared" si="0"/>
        <v>19628724.210000001</v>
      </c>
      <c r="H9" s="78"/>
      <c r="I9" s="78"/>
      <c r="J9" s="78"/>
      <c r="K9" s="135">
        <f t="shared" si="1"/>
        <v>19628724.210000001</v>
      </c>
      <c r="O9" s="78" t="s">
        <v>114</v>
      </c>
      <c r="P9" s="51">
        <f>K72</f>
        <v>43947028.420000002</v>
      </c>
      <c r="Q9" s="143" t="s">
        <v>200</v>
      </c>
      <c r="T9" s="77" t="s">
        <v>202</v>
      </c>
    </row>
    <row r="10" spans="1:39" ht="12.75" customHeight="1" x14ac:dyDescent="0.3">
      <c r="A10" s="111" t="s">
        <v>81</v>
      </c>
      <c r="B10" s="11" t="s">
        <v>3</v>
      </c>
      <c r="C10" s="107"/>
      <c r="D10" s="107">
        <f>3712983.37-163.78</f>
        <v>3712819.5900000003</v>
      </c>
      <c r="E10" s="107"/>
      <c r="F10" s="84">
        <f t="shared" si="0"/>
        <v>3712819.5900000003</v>
      </c>
      <c r="G10" s="107"/>
      <c r="H10" s="83"/>
      <c r="I10" s="83"/>
      <c r="J10" s="83"/>
      <c r="K10" s="135">
        <f t="shared" si="1"/>
        <v>3712819.5900000003</v>
      </c>
      <c r="O10" s="78" t="s">
        <v>195</v>
      </c>
      <c r="P10" s="51">
        <v>354466</v>
      </c>
      <c r="Q10" s="144" t="s">
        <v>201</v>
      </c>
    </row>
    <row r="11" spans="1:39" s="85" customFormat="1" ht="12.75" customHeight="1" thickBot="1" x14ac:dyDescent="0.35">
      <c r="A11" s="112" t="s">
        <v>144</v>
      </c>
      <c r="B11" s="11" t="s">
        <v>43</v>
      </c>
      <c r="C11" s="86"/>
      <c r="D11" s="86"/>
      <c r="E11" s="86"/>
      <c r="F11" s="84">
        <f t="shared" si="0"/>
        <v>0</v>
      </c>
      <c r="G11" s="89">
        <v>-19628724.210000001</v>
      </c>
      <c r="H11" s="91"/>
      <c r="I11" s="91"/>
      <c r="J11" s="91"/>
      <c r="K11" s="135">
        <f t="shared" si="1"/>
        <v>-19628724.210000001</v>
      </c>
      <c r="L11" s="93"/>
      <c r="N11"/>
      <c r="O11" s="78"/>
      <c r="P11" s="145">
        <f>SUM(P3:P10)</f>
        <v>455665286.20999998</v>
      </c>
      <c r="Q11" s="143"/>
      <c r="R11" s="5"/>
      <c r="S11" s="5"/>
      <c r="U11" s="5"/>
      <c r="V11" s="5"/>
      <c r="W11" s="5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ht="12.75" customHeight="1" thickTop="1" x14ac:dyDescent="0.3">
      <c r="A12" s="112">
        <v>9617</v>
      </c>
      <c r="B12" s="11" t="s">
        <v>44</v>
      </c>
      <c r="C12" s="83"/>
      <c r="D12" s="83"/>
      <c r="E12" s="83"/>
      <c r="F12" s="84">
        <f t="shared" si="0"/>
        <v>0</v>
      </c>
      <c r="G12" s="107">
        <v>-3712819.59</v>
      </c>
      <c r="H12" s="83"/>
      <c r="I12" s="83"/>
      <c r="J12" s="83"/>
      <c r="K12" s="135">
        <f t="shared" si="1"/>
        <v>-3712819.59</v>
      </c>
      <c r="O12" s="88"/>
      <c r="P12" s="51"/>
      <c r="Q12" s="143"/>
      <c r="T12" s="11"/>
    </row>
    <row r="13" spans="1:39" ht="12.75" customHeight="1" x14ac:dyDescent="0.3">
      <c r="C13" s="96">
        <f t="shared" ref="C13:K13" si="2">SUM(C3:C12)</f>
        <v>0</v>
      </c>
      <c r="D13" s="96">
        <f t="shared" si="2"/>
        <v>28945842.400000002</v>
      </c>
      <c r="E13" s="96">
        <f t="shared" si="2"/>
        <v>0</v>
      </c>
      <c r="F13" s="96">
        <f t="shared" si="2"/>
        <v>28945842.400000002</v>
      </c>
      <c r="G13" s="96">
        <f t="shared" si="2"/>
        <v>108004127.65000001</v>
      </c>
      <c r="H13" s="96">
        <f t="shared" si="2"/>
        <v>0</v>
      </c>
      <c r="I13" s="96">
        <f t="shared" si="2"/>
        <v>0</v>
      </c>
      <c r="J13" s="96">
        <f t="shared" si="2"/>
        <v>0</v>
      </c>
      <c r="K13" s="96">
        <f t="shared" si="2"/>
        <v>136949970.05000001</v>
      </c>
      <c r="L13" s="96">
        <v>136949970.05000001</v>
      </c>
      <c r="M13" s="79">
        <f>K13-L13</f>
        <v>0</v>
      </c>
      <c r="O13" s="88"/>
      <c r="P13" s="51"/>
      <c r="Q13" s="85"/>
      <c r="T13" s="11"/>
    </row>
    <row r="14" spans="1:39" ht="12.75" customHeight="1" x14ac:dyDescent="0.3">
      <c r="A14" s="117" t="s">
        <v>19</v>
      </c>
      <c r="B14" s="114"/>
      <c r="C14" s="78"/>
      <c r="D14" s="78"/>
      <c r="E14" s="78"/>
      <c r="F14" s="78" t="s">
        <v>20</v>
      </c>
      <c r="G14" s="78"/>
      <c r="H14" s="78"/>
      <c r="I14" s="78"/>
      <c r="J14" s="78"/>
      <c r="K14" s="78"/>
      <c r="O14" s="88"/>
      <c r="P14" s="85"/>
      <c r="Q14" s="85"/>
      <c r="T14" s="11"/>
    </row>
    <row r="15" spans="1:39" ht="12.75" customHeight="1" x14ac:dyDescent="0.3">
      <c r="A15" s="111" t="s">
        <v>145</v>
      </c>
      <c r="B15" s="11" t="s">
        <v>24</v>
      </c>
      <c r="C15" s="78"/>
      <c r="D15" s="134"/>
      <c r="E15" s="78"/>
      <c r="F15" s="78">
        <f t="shared" ref="F15:F22" si="3">SUM(C15:E15)</f>
        <v>0</v>
      </c>
      <c r="G15" s="84">
        <f>4296283.64-2358.6</f>
        <v>4293925.04</v>
      </c>
      <c r="H15" s="78"/>
      <c r="I15" s="78"/>
      <c r="J15" s="78"/>
      <c r="K15" s="107">
        <f>SUM(F15:J15)</f>
        <v>4293925.04</v>
      </c>
      <c r="M15" s="78" t="s">
        <v>20</v>
      </c>
      <c r="O15" s="88"/>
      <c r="P15" s="85"/>
      <c r="Q15" s="85"/>
      <c r="T15" s="11"/>
    </row>
    <row r="16" spans="1:39" ht="12.75" customHeight="1" x14ac:dyDescent="0.3">
      <c r="A16" s="111" t="s">
        <v>146</v>
      </c>
      <c r="B16" s="11" t="s">
        <v>41</v>
      </c>
      <c r="C16" s="84"/>
      <c r="D16" s="84"/>
      <c r="E16" s="84"/>
      <c r="F16" s="78">
        <f t="shared" si="3"/>
        <v>0</v>
      </c>
      <c r="G16" s="84">
        <v>1425911.49</v>
      </c>
      <c r="H16" s="78"/>
      <c r="I16" s="78"/>
      <c r="J16" s="78"/>
      <c r="K16" s="107">
        <f t="shared" ref="K16:K22" si="4">SUM(F16:J16)</f>
        <v>1425911.49</v>
      </c>
      <c r="O16" s="88"/>
      <c r="P16" s="85"/>
      <c r="Q16" s="85"/>
      <c r="T16" s="11"/>
    </row>
    <row r="17" spans="1:19" ht="12.75" customHeight="1" x14ac:dyDescent="0.3">
      <c r="A17" s="112" t="s">
        <v>89</v>
      </c>
      <c r="B17" s="11" t="s">
        <v>90</v>
      </c>
      <c r="C17" s="84"/>
      <c r="D17" s="84"/>
      <c r="E17" s="84"/>
      <c r="F17" s="78">
        <f t="shared" si="3"/>
        <v>0</v>
      </c>
      <c r="G17" s="84"/>
      <c r="H17" s="78"/>
      <c r="I17" s="78"/>
      <c r="J17" s="78"/>
      <c r="K17" s="107">
        <f t="shared" si="4"/>
        <v>0</v>
      </c>
      <c r="O17" s="88"/>
      <c r="P17" s="85"/>
      <c r="Q17" s="85"/>
    </row>
    <row r="18" spans="1:19" s="5" customFormat="1" ht="12.75" customHeight="1" x14ac:dyDescent="0.3">
      <c r="A18" s="111" t="s">
        <v>147</v>
      </c>
      <c r="B18" s="11" t="s">
        <v>5</v>
      </c>
      <c r="C18" s="84"/>
      <c r="D18" s="84">
        <v>825845.2</v>
      </c>
      <c r="E18" s="84"/>
      <c r="F18" s="78">
        <f t="shared" si="3"/>
        <v>825845.2</v>
      </c>
      <c r="G18" s="84"/>
      <c r="H18" s="78"/>
      <c r="I18" s="78"/>
      <c r="J18" s="78"/>
      <c r="K18" s="136">
        <f t="shared" si="4"/>
        <v>825845.2</v>
      </c>
      <c r="M18" s="78"/>
      <c r="N18"/>
      <c r="O18" s="78"/>
      <c r="P18" s="85"/>
      <c r="Q18" s="85"/>
      <c r="R18" s="85"/>
      <c r="S18" s="85"/>
    </row>
    <row r="19" spans="1:19" s="5" customFormat="1" ht="12.75" customHeight="1" x14ac:dyDescent="0.3">
      <c r="A19" s="111" t="s">
        <v>148</v>
      </c>
      <c r="B19" s="11" t="s">
        <v>28</v>
      </c>
      <c r="C19" s="84"/>
      <c r="D19" s="84">
        <v>298800.42</v>
      </c>
      <c r="E19" s="84"/>
      <c r="F19" s="78">
        <f t="shared" si="3"/>
        <v>298800.42</v>
      </c>
      <c r="G19" s="84"/>
      <c r="H19" s="78"/>
      <c r="I19" s="78"/>
      <c r="J19" s="78"/>
      <c r="K19" s="136">
        <f t="shared" si="4"/>
        <v>298800.42</v>
      </c>
      <c r="L19" s="19" t="s">
        <v>138</v>
      </c>
      <c r="M19" s="78"/>
      <c r="N19"/>
      <c r="O19" s="139" t="s">
        <v>193</v>
      </c>
      <c r="P19" s="140"/>
      <c r="Q19" s="141"/>
      <c r="R19" s="11"/>
      <c r="S19" s="11"/>
    </row>
    <row r="20" spans="1:19" s="5" customFormat="1" ht="12.75" customHeight="1" x14ac:dyDescent="0.3">
      <c r="A20" s="111" t="s">
        <v>149</v>
      </c>
      <c r="B20" s="11" t="s">
        <v>47</v>
      </c>
      <c r="C20" s="107"/>
      <c r="D20" s="107"/>
      <c r="E20" s="107"/>
      <c r="F20" s="78">
        <f t="shared" si="3"/>
        <v>0</v>
      </c>
      <c r="G20" s="20"/>
      <c r="H20" s="83"/>
      <c r="I20" s="83"/>
      <c r="J20" s="83"/>
      <c r="K20" s="136">
        <f t="shared" si="4"/>
        <v>0</v>
      </c>
      <c r="L20" s="78"/>
      <c r="M20" s="78"/>
      <c r="N20"/>
      <c r="O20" s="78">
        <f>K13</f>
        <v>136949970.05000001</v>
      </c>
      <c r="P20" s="97" t="s">
        <v>78</v>
      </c>
      <c r="Q20" s="11"/>
      <c r="R20" s="11"/>
      <c r="S20" s="11"/>
    </row>
    <row r="21" spans="1:19" s="5" customFormat="1" ht="12.75" customHeight="1" x14ac:dyDescent="0.3">
      <c r="A21" s="111" t="s">
        <v>150</v>
      </c>
      <c r="B21" s="11" t="s">
        <v>45</v>
      </c>
      <c r="C21" s="107"/>
      <c r="D21" s="107"/>
      <c r="E21" s="107"/>
      <c r="F21" s="78">
        <f t="shared" si="3"/>
        <v>0</v>
      </c>
      <c r="G21" s="107">
        <v>-825845.2</v>
      </c>
      <c r="H21" s="83"/>
      <c r="I21" s="83"/>
      <c r="J21" s="83"/>
      <c r="K21" s="136">
        <f t="shared" si="4"/>
        <v>-825845.2</v>
      </c>
      <c r="L21" s="78"/>
      <c r="M21" s="78" t="s">
        <v>20</v>
      </c>
      <c r="N21"/>
      <c r="O21" s="20">
        <f>K23</f>
        <v>5719836.5300000003</v>
      </c>
      <c r="P21" s="5" t="s">
        <v>79</v>
      </c>
      <c r="Q21" s="11"/>
      <c r="R21" s="11"/>
      <c r="S21" s="11"/>
    </row>
    <row r="22" spans="1:19" s="5" customFormat="1" ht="12.75" customHeight="1" x14ac:dyDescent="0.3">
      <c r="A22" s="111" t="s">
        <v>151</v>
      </c>
      <c r="B22" s="11" t="s">
        <v>46</v>
      </c>
      <c r="C22" s="83"/>
      <c r="D22" s="83"/>
      <c r="E22" s="83"/>
      <c r="F22" s="78">
        <f t="shared" si="3"/>
        <v>0</v>
      </c>
      <c r="G22" s="107">
        <v>-298800.42</v>
      </c>
      <c r="H22" s="83"/>
      <c r="I22" s="83"/>
      <c r="J22" s="83"/>
      <c r="K22" s="136">
        <f t="shared" si="4"/>
        <v>-298800.42</v>
      </c>
      <c r="L22" s="78"/>
      <c r="M22" s="78"/>
      <c r="N22"/>
      <c r="O22" s="78">
        <f>K77</f>
        <v>135400.9</v>
      </c>
      <c r="P22" s="5" t="s">
        <v>132</v>
      </c>
      <c r="Q22" s="11"/>
      <c r="R22" s="11"/>
      <c r="S22" s="11"/>
    </row>
    <row r="23" spans="1:19" s="5" customFormat="1" ht="12.75" customHeight="1" x14ac:dyDescent="0.3">
      <c r="A23" s="111"/>
      <c r="B23" s="11"/>
      <c r="C23" s="96">
        <f t="shared" ref="C23:K23" si="5">SUM(C15:C22)</f>
        <v>0</v>
      </c>
      <c r="D23" s="96">
        <f t="shared" si="5"/>
        <v>1124645.6199999999</v>
      </c>
      <c r="E23" s="96">
        <f t="shared" si="5"/>
        <v>0</v>
      </c>
      <c r="F23" s="96">
        <f t="shared" si="5"/>
        <v>1124645.6199999999</v>
      </c>
      <c r="G23" s="96">
        <f t="shared" si="5"/>
        <v>4595190.91</v>
      </c>
      <c r="H23" s="96">
        <f t="shared" si="5"/>
        <v>0</v>
      </c>
      <c r="I23" s="96">
        <f t="shared" si="5"/>
        <v>0</v>
      </c>
      <c r="J23" s="96">
        <f t="shared" si="5"/>
        <v>0</v>
      </c>
      <c r="K23" s="96">
        <f t="shared" si="5"/>
        <v>5719836.5300000003</v>
      </c>
      <c r="L23" s="96">
        <v>5719836.5300000003</v>
      </c>
      <c r="M23" s="79">
        <f>K23-L23</f>
        <v>0</v>
      </c>
      <c r="N23"/>
      <c r="O23" s="79">
        <f>SUM(O20:O22)</f>
        <v>142805207.48000002</v>
      </c>
      <c r="Q23" s="11"/>
      <c r="R23" s="11"/>
      <c r="S23" s="11"/>
    </row>
    <row r="24" spans="1:19" s="5" customFormat="1" ht="12.75" customHeight="1" x14ac:dyDescent="0.3">
      <c r="A24" s="117" t="s">
        <v>21</v>
      </c>
      <c r="B24" s="11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/>
      <c r="O24" s="83"/>
    </row>
    <row r="25" spans="1:19" s="5" customFormat="1" ht="12.75" customHeight="1" x14ac:dyDescent="0.3">
      <c r="A25" s="111" t="s">
        <v>152</v>
      </c>
      <c r="B25" s="11" t="s">
        <v>25</v>
      </c>
      <c r="C25" s="78"/>
      <c r="D25" s="78"/>
      <c r="E25" s="78"/>
      <c r="F25" s="78">
        <f t="shared" ref="F25:F30" si="6">SUM(C25:E25)</f>
        <v>0</v>
      </c>
      <c r="G25" s="84">
        <v>242593.05</v>
      </c>
      <c r="H25" s="78"/>
      <c r="I25" s="78"/>
      <c r="J25" s="78"/>
      <c r="K25" s="83">
        <f>SUM(F25:J25)</f>
        <v>242593.05</v>
      </c>
      <c r="L25" s="78"/>
      <c r="M25" s="78"/>
      <c r="N25"/>
      <c r="O25" s="20">
        <v>-3774</v>
      </c>
      <c r="P25" s="51" t="s">
        <v>76</v>
      </c>
    </row>
    <row r="26" spans="1:19" s="5" customFormat="1" ht="12.75" customHeight="1" x14ac:dyDescent="0.3">
      <c r="A26" s="111" t="s">
        <v>153</v>
      </c>
      <c r="B26" s="11" t="s">
        <v>71</v>
      </c>
      <c r="C26" s="84"/>
      <c r="D26" s="20"/>
      <c r="E26" s="84"/>
      <c r="F26" s="78">
        <f t="shared" si="6"/>
        <v>0</v>
      </c>
      <c r="G26" s="84"/>
      <c r="H26" s="78"/>
      <c r="I26" s="78"/>
      <c r="J26" s="78"/>
      <c r="K26" s="83">
        <f t="shared" ref="K26:K30" si="7">SUM(F26:J26)</f>
        <v>0</v>
      </c>
      <c r="L26" s="78"/>
      <c r="M26" s="78"/>
      <c r="N26"/>
      <c r="O26" s="20">
        <v>-59407</v>
      </c>
      <c r="P26" s="51" t="s">
        <v>77</v>
      </c>
    </row>
    <row r="27" spans="1:19" s="5" customFormat="1" ht="12.75" customHeight="1" x14ac:dyDescent="0.3">
      <c r="A27" s="111" t="s">
        <v>154</v>
      </c>
      <c r="B27" s="11" t="s">
        <v>6</v>
      </c>
      <c r="C27" s="84"/>
      <c r="D27" s="84">
        <v>38945.58</v>
      </c>
      <c r="E27" s="84"/>
      <c r="F27" s="78">
        <f t="shared" si="6"/>
        <v>38945.58</v>
      </c>
      <c r="G27" s="84"/>
      <c r="H27" s="78"/>
      <c r="I27" s="78"/>
      <c r="J27" s="78"/>
      <c r="K27" s="136">
        <f t="shared" si="7"/>
        <v>38945.58</v>
      </c>
      <c r="L27" s="78"/>
      <c r="M27" s="78"/>
      <c r="N27"/>
      <c r="O27" s="20">
        <v>123225548</v>
      </c>
      <c r="P27" s="51" t="s">
        <v>82</v>
      </c>
    </row>
    <row r="28" spans="1:19" s="5" customFormat="1" ht="12.75" customHeight="1" x14ac:dyDescent="0.3">
      <c r="A28" s="111" t="s">
        <v>155</v>
      </c>
      <c r="B28" s="11" t="s">
        <v>7</v>
      </c>
      <c r="C28" s="107"/>
      <c r="D28" s="107"/>
      <c r="E28" s="107"/>
      <c r="F28" s="78">
        <f t="shared" si="6"/>
        <v>0</v>
      </c>
      <c r="G28" s="107"/>
      <c r="H28" s="83"/>
      <c r="I28" s="83"/>
      <c r="J28" s="83"/>
      <c r="K28" s="136">
        <f t="shared" si="7"/>
        <v>0</v>
      </c>
      <c r="L28" s="78"/>
      <c r="M28" s="78"/>
      <c r="N28"/>
      <c r="O28" s="20">
        <v>83749430</v>
      </c>
      <c r="P28" s="51" t="s">
        <v>85</v>
      </c>
    </row>
    <row r="29" spans="1:19" s="5" customFormat="1" ht="12.75" customHeight="1" x14ac:dyDescent="0.3">
      <c r="A29" s="111" t="s">
        <v>156</v>
      </c>
      <c r="B29" s="11" t="s">
        <v>48</v>
      </c>
      <c r="C29" s="107"/>
      <c r="D29" s="107"/>
      <c r="E29" s="107"/>
      <c r="F29" s="78">
        <f t="shared" si="6"/>
        <v>0</v>
      </c>
      <c r="G29" s="107">
        <v>-38945.58</v>
      </c>
      <c r="H29" s="83"/>
      <c r="I29" s="83"/>
      <c r="J29" s="83"/>
      <c r="K29" s="136">
        <f t="shared" si="7"/>
        <v>-38945.58</v>
      </c>
      <c r="L29" s="78"/>
      <c r="M29" s="78"/>
      <c r="N29"/>
      <c r="O29" s="20">
        <v>0</v>
      </c>
      <c r="P29" s="51" t="s">
        <v>190</v>
      </c>
    </row>
    <row r="30" spans="1:19" s="5" customFormat="1" ht="12.75" customHeight="1" x14ac:dyDescent="0.3">
      <c r="A30" s="111" t="s">
        <v>157</v>
      </c>
      <c r="B30" s="11" t="s">
        <v>72</v>
      </c>
      <c r="C30" s="83"/>
      <c r="D30" s="83"/>
      <c r="E30" s="83"/>
      <c r="F30" s="78">
        <f t="shared" si="6"/>
        <v>0</v>
      </c>
      <c r="G30" s="83"/>
      <c r="H30" s="83"/>
      <c r="I30" s="83"/>
      <c r="J30" s="83"/>
      <c r="K30" s="136">
        <f t="shared" si="7"/>
        <v>0</v>
      </c>
      <c r="L30" s="78"/>
      <c r="M30" s="78"/>
      <c r="N30"/>
      <c r="O30" s="80">
        <f>SUM(O25:O29)</f>
        <v>206911797</v>
      </c>
      <c r="P30" s="5" t="s">
        <v>110</v>
      </c>
    </row>
    <row r="31" spans="1:19" s="5" customFormat="1" ht="12.75" customHeight="1" x14ac:dyDescent="0.3">
      <c r="A31" s="111"/>
      <c r="B31" s="11"/>
      <c r="C31" s="96">
        <f t="shared" ref="C31:K31" si="8">SUM(C25:C30)</f>
        <v>0</v>
      </c>
      <c r="D31" s="96">
        <f t="shared" si="8"/>
        <v>38945.58</v>
      </c>
      <c r="E31" s="96">
        <f t="shared" si="8"/>
        <v>0</v>
      </c>
      <c r="F31" s="96">
        <f t="shared" si="8"/>
        <v>38945.58</v>
      </c>
      <c r="G31" s="96">
        <f t="shared" si="8"/>
        <v>203647.46999999997</v>
      </c>
      <c r="H31" s="96">
        <f t="shared" si="8"/>
        <v>0</v>
      </c>
      <c r="I31" s="96">
        <f t="shared" si="8"/>
        <v>0</v>
      </c>
      <c r="J31" s="96">
        <f t="shared" si="8"/>
        <v>0</v>
      </c>
      <c r="K31" s="96">
        <f t="shared" si="8"/>
        <v>242593.05</v>
      </c>
      <c r="L31" s="96">
        <v>242593.05</v>
      </c>
      <c r="M31" s="79">
        <f>K31-L31</f>
        <v>0</v>
      </c>
      <c r="N31"/>
      <c r="O31" s="20"/>
    </row>
    <row r="32" spans="1:19" s="5" customFormat="1" ht="12.75" customHeight="1" x14ac:dyDescent="0.3">
      <c r="A32" s="117" t="s">
        <v>22</v>
      </c>
      <c r="B32" s="11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/>
      <c r="O32" s="92">
        <v>0</v>
      </c>
      <c r="P32" s="95" t="s">
        <v>189</v>
      </c>
      <c r="Q32" s="5" t="s">
        <v>131</v>
      </c>
    </row>
    <row r="33" spans="1:20" s="5" customFormat="1" ht="12.75" customHeight="1" x14ac:dyDescent="0.3">
      <c r="A33" s="111" t="s">
        <v>158</v>
      </c>
      <c r="B33" s="11" t="s">
        <v>39</v>
      </c>
      <c r="C33" s="84">
        <f>55056.96+949406.46</f>
        <v>1004463.4199999999</v>
      </c>
      <c r="D33" s="20"/>
      <c r="E33" s="84"/>
      <c r="F33" s="78">
        <f t="shared" ref="F33:F41" si="9">SUM(C33:E33)</f>
        <v>1004463.4199999999</v>
      </c>
      <c r="G33" s="84">
        <f>7824381.08-C33</f>
        <v>6819917.6600000001</v>
      </c>
      <c r="H33" s="78"/>
      <c r="I33" s="78"/>
      <c r="J33" s="78"/>
      <c r="K33" s="83">
        <f>SUM(F33:J33)</f>
        <v>7824381.0800000001</v>
      </c>
      <c r="L33" s="78"/>
      <c r="M33" s="20"/>
      <c r="N33"/>
      <c r="O33" s="78">
        <f>K68</f>
        <v>56184951</v>
      </c>
      <c r="P33" s="51" t="s">
        <v>99</v>
      </c>
    </row>
    <row r="34" spans="1:20" s="5" customFormat="1" ht="12.75" customHeight="1" x14ac:dyDescent="0.3">
      <c r="A34" s="111" t="s">
        <v>159</v>
      </c>
      <c r="B34" s="11" t="s">
        <v>51</v>
      </c>
      <c r="C34" s="84"/>
      <c r="D34" s="84"/>
      <c r="E34" s="84"/>
      <c r="F34" s="78">
        <f t="shared" si="9"/>
        <v>0</v>
      </c>
      <c r="G34" s="84"/>
      <c r="H34" s="78"/>
      <c r="I34" s="78"/>
      <c r="J34" s="78"/>
      <c r="K34" s="83">
        <f t="shared" ref="K34:K41" si="10">SUM(F34:J34)</f>
        <v>0</v>
      </c>
      <c r="L34" s="78"/>
      <c r="M34" s="20"/>
      <c r="N34"/>
      <c r="O34" s="78">
        <f>K71</f>
        <v>41542466</v>
      </c>
      <c r="P34" s="51" t="s">
        <v>118</v>
      </c>
    </row>
    <row r="35" spans="1:20" s="5" customFormat="1" ht="12.75" customHeight="1" x14ac:dyDescent="0.3">
      <c r="A35" s="111" t="s">
        <v>160</v>
      </c>
      <c r="B35" s="11" t="s">
        <v>49</v>
      </c>
      <c r="C35" s="84"/>
      <c r="D35" s="84">
        <v>179526</v>
      </c>
      <c r="E35" s="84"/>
      <c r="F35" s="78">
        <f t="shared" si="9"/>
        <v>179526</v>
      </c>
      <c r="G35" s="84">
        <f>199613.64-D35</f>
        <v>20087.640000000014</v>
      </c>
      <c r="H35" s="78"/>
      <c r="I35" s="78"/>
      <c r="J35" s="78"/>
      <c r="K35" s="83">
        <f t="shared" si="10"/>
        <v>199613.64</v>
      </c>
      <c r="L35" s="78"/>
      <c r="M35" s="20"/>
      <c r="N35"/>
      <c r="O35" s="78">
        <f>K72</f>
        <v>43947028.420000002</v>
      </c>
      <c r="P35" s="51" t="s">
        <v>119</v>
      </c>
    </row>
    <row r="36" spans="1:20" ht="12.75" customHeight="1" x14ac:dyDescent="0.3">
      <c r="A36" s="112" t="s">
        <v>91</v>
      </c>
      <c r="B36" s="11" t="s">
        <v>93</v>
      </c>
      <c r="C36" s="84">
        <v>36130030</v>
      </c>
      <c r="D36" s="84"/>
      <c r="E36" s="84"/>
      <c r="F36" s="78">
        <f t="shared" si="9"/>
        <v>36130030</v>
      </c>
      <c r="G36" s="84"/>
      <c r="H36" s="78"/>
      <c r="I36" s="78"/>
      <c r="J36" s="78"/>
      <c r="K36" s="83">
        <f t="shared" si="10"/>
        <v>36130030</v>
      </c>
      <c r="O36" s="100">
        <f>SUM(O32:O35)</f>
        <v>141674445.42000002</v>
      </c>
    </row>
    <row r="37" spans="1:20" s="5" customFormat="1" ht="12.75" customHeight="1" x14ac:dyDescent="0.3">
      <c r="A37" s="112" t="s">
        <v>92</v>
      </c>
      <c r="B37" s="11" t="s">
        <v>94</v>
      </c>
      <c r="C37" s="84"/>
      <c r="D37" s="84"/>
      <c r="E37" s="84"/>
      <c r="F37" s="78">
        <f t="shared" si="9"/>
        <v>0</v>
      </c>
      <c r="G37" s="84"/>
      <c r="H37" s="78"/>
      <c r="I37" s="78"/>
      <c r="J37" s="78"/>
      <c r="K37" s="83">
        <f t="shared" si="10"/>
        <v>0</v>
      </c>
      <c r="L37" s="78"/>
      <c r="M37" s="78"/>
      <c r="N37"/>
      <c r="O37" s="20"/>
    </row>
    <row r="38" spans="1:20" s="5" customFormat="1" ht="12.75" customHeight="1" thickBot="1" x14ac:dyDescent="0.35">
      <c r="A38" s="111" t="s">
        <v>161</v>
      </c>
      <c r="B38" s="11" t="s">
        <v>53</v>
      </c>
      <c r="C38" s="84"/>
      <c r="D38" s="84">
        <v>214574.18</v>
      </c>
      <c r="E38" s="84"/>
      <c r="F38" s="78">
        <f t="shared" si="9"/>
        <v>214574.18</v>
      </c>
      <c r="G38" s="84"/>
      <c r="H38" s="78"/>
      <c r="I38" s="78"/>
      <c r="J38" s="78"/>
      <c r="K38" s="136">
        <f t="shared" si="10"/>
        <v>214574.18</v>
      </c>
      <c r="L38" s="78"/>
      <c r="M38" s="78"/>
      <c r="N38"/>
      <c r="O38" s="81">
        <f>O23+O30+O36</f>
        <v>491391449.90000004</v>
      </c>
      <c r="P38" s="101" t="s">
        <v>136</v>
      </c>
    </row>
    <row r="39" spans="1:20" s="5" customFormat="1" ht="12.75" customHeight="1" thickTop="1" thickBot="1" x14ac:dyDescent="0.35">
      <c r="A39" s="111" t="s">
        <v>162</v>
      </c>
      <c r="B39" s="11" t="s">
        <v>50</v>
      </c>
      <c r="C39" s="107"/>
      <c r="D39" s="107">
        <v>2620.66</v>
      </c>
      <c r="E39" s="107"/>
      <c r="F39" s="78">
        <f t="shared" si="9"/>
        <v>2620.66</v>
      </c>
      <c r="G39" s="84"/>
      <c r="H39" s="83"/>
      <c r="I39" s="83"/>
      <c r="J39" s="83"/>
      <c r="K39" s="136">
        <f t="shared" si="10"/>
        <v>2620.66</v>
      </c>
      <c r="L39" s="78"/>
      <c r="M39" s="78"/>
      <c r="N39"/>
      <c r="O39" s="20">
        <f>'[1]2022'!$F$28</f>
        <v>-491391449.89999998</v>
      </c>
      <c r="P39" s="5" t="s">
        <v>187</v>
      </c>
    </row>
    <row r="40" spans="1:20" s="5" customFormat="1" ht="12.75" customHeight="1" thickBot="1" x14ac:dyDescent="0.35">
      <c r="A40" s="111" t="s">
        <v>163</v>
      </c>
      <c r="B40" s="11" t="s">
        <v>52</v>
      </c>
      <c r="C40" s="107"/>
      <c r="D40" s="107"/>
      <c r="E40" s="107"/>
      <c r="F40" s="78">
        <f t="shared" si="9"/>
        <v>0</v>
      </c>
      <c r="G40" s="84">
        <v>-214574.18</v>
      </c>
      <c r="H40" s="83"/>
      <c r="I40" s="83"/>
      <c r="J40" s="83"/>
      <c r="K40" s="136">
        <f t="shared" si="10"/>
        <v>-214574.18</v>
      </c>
      <c r="L40" s="78"/>
      <c r="M40" s="78"/>
      <c r="N40"/>
      <c r="O40" s="130">
        <f>O38+O39</f>
        <v>0</v>
      </c>
      <c r="P40" s="131" t="s">
        <v>185</v>
      </c>
    </row>
    <row r="41" spans="1:20" s="5" customFormat="1" ht="12.75" customHeight="1" x14ac:dyDescent="0.3">
      <c r="A41" s="111" t="s">
        <v>164</v>
      </c>
      <c r="B41" s="11" t="s">
        <v>65</v>
      </c>
      <c r="C41" s="83"/>
      <c r="D41" s="83"/>
      <c r="E41" s="83"/>
      <c r="F41" s="78">
        <f t="shared" si="9"/>
        <v>0</v>
      </c>
      <c r="G41" s="107">
        <v>-2620.66</v>
      </c>
      <c r="H41" s="83"/>
      <c r="I41" s="83"/>
      <c r="J41" s="83"/>
      <c r="K41" s="136">
        <f t="shared" si="10"/>
        <v>-2620.66</v>
      </c>
      <c r="L41" s="78"/>
      <c r="M41" s="78"/>
      <c r="N41"/>
      <c r="O41" s="20"/>
    </row>
    <row r="42" spans="1:20" s="5" customFormat="1" ht="12.75" customHeight="1" x14ac:dyDescent="0.3">
      <c r="A42" s="111"/>
      <c r="B42" s="11"/>
      <c r="C42" s="96">
        <f t="shared" ref="C42:K42" si="11">SUM(C33:C41)</f>
        <v>37134493.420000002</v>
      </c>
      <c r="D42" s="96">
        <f t="shared" si="11"/>
        <v>396720.83999999997</v>
      </c>
      <c r="E42" s="96">
        <f t="shared" si="11"/>
        <v>0</v>
      </c>
      <c r="F42" s="96">
        <f t="shared" si="11"/>
        <v>37531214.259999998</v>
      </c>
      <c r="G42" s="96">
        <f t="shared" si="11"/>
        <v>6622810.46</v>
      </c>
      <c r="H42" s="96">
        <f t="shared" si="11"/>
        <v>0</v>
      </c>
      <c r="I42" s="96">
        <f t="shared" si="11"/>
        <v>0</v>
      </c>
      <c r="J42" s="96">
        <f t="shared" si="11"/>
        <v>0</v>
      </c>
      <c r="K42" s="96">
        <f t="shared" si="11"/>
        <v>44154024.719999999</v>
      </c>
      <c r="L42" s="96">
        <v>44154024.719999999</v>
      </c>
      <c r="M42" s="79">
        <f>K42-L42</f>
        <v>0</v>
      </c>
      <c r="N42"/>
      <c r="O42" s="137" t="s">
        <v>192</v>
      </c>
      <c r="P42" s="138"/>
      <c r="Q42" s="138"/>
    </row>
    <row r="43" spans="1:20" s="5" customFormat="1" ht="12.75" customHeight="1" x14ac:dyDescent="0.3">
      <c r="A43" s="117" t="s">
        <v>23</v>
      </c>
      <c r="B43" s="11"/>
      <c r="C43" s="20"/>
      <c r="D43" s="20"/>
      <c r="E43" s="20"/>
      <c r="F43" s="20"/>
      <c r="G43" s="20" t="s">
        <v>20</v>
      </c>
      <c r="H43" s="78"/>
      <c r="I43" s="78"/>
      <c r="J43" s="78"/>
      <c r="K43" s="20"/>
      <c r="L43" s="78"/>
      <c r="M43" s="78"/>
      <c r="N43"/>
      <c r="O43" s="20"/>
    </row>
    <row r="44" spans="1:20" s="5" customFormat="1" ht="12.75" customHeight="1" x14ac:dyDescent="0.3">
      <c r="A44" s="111" t="s">
        <v>191</v>
      </c>
      <c r="B44" s="11" t="s">
        <v>9</v>
      </c>
      <c r="C44" s="20"/>
      <c r="D44" s="132"/>
      <c r="E44" s="20"/>
      <c r="F44" s="78">
        <f>SUM(C44:E44)</f>
        <v>0</v>
      </c>
      <c r="G44" s="20"/>
      <c r="H44" s="90">
        <f>176245+328306.94</f>
        <v>504551.94</v>
      </c>
      <c r="I44" s="78"/>
      <c r="J44" s="78"/>
      <c r="K44" s="83">
        <f>SUM(F44:J44)</f>
        <v>504551.94</v>
      </c>
      <c r="L44" s="78"/>
      <c r="M44" s="78"/>
      <c r="N44"/>
      <c r="T44" s="16"/>
    </row>
    <row r="45" spans="1:20" s="5" customFormat="1" ht="12.75" customHeight="1" x14ac:dyDescent="0.3">
      <c r="A45" s="111" t="s">
        <v>165</v>
      </c>
      <c r="B45" s="11" t="s">
        <v>29</v>
      </c>
      <c r="C45" s="84"/>
      <c r="D45" s="84"/>
      <c r="E45" s="84">
        <f>359664.5</f>
        <v>359664.5</v>
      </c>
      <c r="F45" s="78">
        <f t="shared" ref="F45:F65" si="12">SUM(C45:E45)</f>
        <v>359664.5</v>
      </c>
      <c r="G45" s="84">
        <f>7571177.81-E45</f>
        <v>7211513.3099999996</v>
      </c>
      <c r="H45" s="78"/>
      <c r="I45" s="78"/>
      <c r="J45" s="20"/>
      <c r="K45" s="83">
        <f t="shared" ref="K45:K54" si="13">SUM(F45:J45)</f>
        <v>7571177.8099999996</v>
      </c>
      <c r="L45" s="78"/>
      <c r="M45" s="78"/>
      <c r="N45"/>
      <c r="O45" s="20"/>
      <c r="T45" s="16"/>
    </row>
    <row r="46" spans="1:20" s="5" customFormat="1" ht="12.75" customHeight="1" x14ac:dyDescent="0.3">
      <c r="A46" s="111" t="s">
        <v>166</v>
      </c>
      <c r="B46" s="11" t="s">
        <v>30</v>
      </c>
      <c r="C46" s="84"/>
      <c r="D46" s="84">
        <f>400+35663.92+76331.3+190000</f>
        <v>302395.21999999997</v>
      </c>
      <c r="E46" s="84"/>
      <c r="F46" s="78">
        <f t="shared" si="12"/>
        <v>302395.21999999997</v>
      </c>
      <c r="G46" s="84">
        <f>12991561.5-D46</f>
        <v>12689166.279999999</v>
      </c>
      <c r="H46" s="78"/>
      <c r="I46" s="78"/>
      <c r="J46" s="20"/>
      <c r="K46" s="83">
        <f t="shared" si="13"/>
        <v>12991561.5</v>
      </c>
      <c r="L46" s="78"/>
      <c r="M46" s="78"/>
      <c r="N46"/>
      <c r="O46" s="20"/>
      <c r="T46" s="16"/>
    </row>
    <row r="47" spans="1:20" s="5" customFormat="1" ht="12.75" customHeight="1" x14ac:dyDescent="0.3">
      <c r="A47" s="111" t="s">
        <v>167</v>
      </c>
      <c r="B47" s="11" t="s">
        <v>31</v>
      </c>
      <c r="C47" s="84"/>
      <c r="D47" s="84">
        <v>105690.82</v>
      </c>
      <c r="E47" s="84"/>
      <c r="F47" s="78">
        <f t="shared" si="12"/>
        <v>105690.82</v>
      </c>
      <c r="G47" s="84">
        <f>73976766.7-D47</f>
        <v>73871075.88000001</v>
      </c>
      <c r="H47" s="78"/>
      <c r="I47" s="78"/>
      <c r="J47" s="78"/>
      <c r="K47" s="83">
        <f t="shared" si="13"/>
        <v>73976766.700000003</v>
      </c>
      <c r="L47" s="78"/>
      <c r="M47" s="78"/>
      <c r="N47"/>
      <c r="O47" s="20"/>
      <c r="T47" s="16"/>
    </row>
    <row r="48" spans="1:20" s="5" customFormat="1" ht="12.75" customHeight="1" x14ac:dyDescent="0.3">
      <c r="A48" s="111" t="s">
        <v>168</v>
      </c>
      <c r="B48" s="11" t="s">
        <v>36</v>
      </c>
      <c r="C48" s="84"/>
      <c r="D48" s="84">
        <f>736372.9-0.01</f>
        <v>736372.89</v>
      </c>
      <c r="E48" s="84"/>
      <c r="F48" s="78">
        <f t="shared" si="12"/>
        <v>736372.89</v>
      </c>
      <c r="G48" s="84">
        <v>0</v>
      </c>
      <c r="H48" s="78"/>
      <c r="I48" s="78"/>
      <c r="J48" s="78"/>
      <c r="K48" s="83">
        <f t="shared" si="13"/>
        <v>736372.89</v>
      </c>
      <c r="L48" s="78"/>
      <c r="M48" s="78"/>
      <c r="N48"/>
      <c r="O48" s="20" t="s">
        <v>203</v>
      </c>
    </row>
    <row r="49" spans="1:21" s="5" customFormat="1" ht="12.75" customHeight="1" x14ac:dyDescent="0.3">
      <c r="A49" s="111" t="s">
        <v>169</v>
      </c>
      <c r="B49" s="11" t="s">
        <v>33</v>
      </c>
      <c r="C49" s="84"/>
      <c r="D49" s="20">
        <v>0</v>
      </c>
      <c r="E49" s="84"/>
      <c r="F49" s="78">
        <f t="shared" si="12"/>
        <v>0</v>
      </c>
      <c r="G49" s="84">
        <v>74548.14</v>
      </c>
      <c r="H49" s="78"/>
      <c r="I49" s="78"/>
      <c r="J49" s="78"/>
      <c r="K49" s="83">
        <f t="shared" si="13"/>
        <v>74548.14</v>
      </c>
      <c r="L49" s="78"/>
      <c r="M49" s="78"/>
      <c r="N49"/>
      <c r="O49" s="20"/>
      <c r="R49"/>
      <c r="S49"/>
      <c r="T49" s="16"/>
    </row>
    <row r="50" spans="1:21" s="5" customFormat="1" ht="12.75" customHeight="1" x14ac:dyDescent="0.3">
      <c r="A50" s="111" t="s">
        <v>170</v>
      </c>
      <c r="B50" s="11" t="s">
        <v>64</v>
      </c>
      <c r="C50" s="84"/>
      <c r="D50" s="84"/>
      <c r="E50" s="84"/>
      <c r="F50" s="78">
        <f>SUM(C50:E50)</f>
        <v>0</v>
      </c>
      <c r="G50" s="84">
        <v>-0.25</v>
      </c>
      <c r="H50" s="78"/>
      <c r="I50" s="78"/>
      <c r="J50" s="78"/>
      <c r="K50" s="83">
        <f>SUM(F50:J50)</f>
        <v>-0.25</v>
      </c>
      <c r="L50" s="78"/>
      <c r="M50" s="78"/>
      <c r="N50"/>
      <c r="O50" s="20"/>
      <c r="Q50"/>
      <c r="R50"/>
      <c r="S50"/>
      <c r="T50" s="16"/>
      <c r="U50" s="10"/>
    </row>
    <row r="51" spans="1:21" s="5" customFormat="1" ht="12.75" customHeight="1" x14ac:dyDescent="0.3">
      <c r="A51" s="111" t="s">
        <v>171</v>
      </c>
      <c r="B51" s="11" t="s">
        <v>34</v>
      </c>
      <c r="C51" s="84"/>
      <c r="D51" s="84"/>
      <c r="E51" s="84"/>
      <c r="F51" s="78">
        <f t="shared" si="12"/>
        <v>0</v>
      </c>
      <c r="G51" s="84">
        <v>163680.23000000001</v>
      </c>
      <c r="H51" s="78"/>
      <c r="I51" s="78"/>
      <c r="J51" s="78"/>
      <c r="K51" s="83">
        <f t="shared" si="13"/>
        <v>163680.23000000001</v>
      </c>
      <c r="L51" s="78"/>
      <c r="M51" s="78"/>
      <c r="N51"/>
      <c r="O51" s="78"/>
      <c r="Q51"/>
      <c r="R51"/>
      <c r="S51"/>
      <c r="T51" s="16"/>
      <c r="U51" s="10"/>
    </row>
    <row r="52" spans="1:21" s="5" customFormat="1" ht="12.75" customHeight="1" x14ac:dyDescent="0.3">
      <c r="A52" s="112" t="s">
        <v>95</v>
      </c>
      <c r="B52" s="11" t="s">
        <v>96</v>
      </c>
      <c r="C52" s="78"/>
      <c r="D52" s="78"/>
      <c r="E52" s="78"/>
      <c r="F52" s="78">
        <f t="shared" si="12"/>
        <v>0</v>
      </c>
      <c r="G52" s="84"/>
      <c r="H52" s="78"/>
      <c r="I52" s="78"/>
      <c r="J52" s="78"/>
      <c r="K52" s="83">
        <f t="shared" si="13"/>
        <v>0</v>
      </c>
      <c r="L52" s="78"/>
      <c r="M52" s="78"/>
      <c r="N52"/>
      <c r="O52" s="78"/>
      <c r="Q52"/>
      <c r="R52"/>
      <c r="S52"/>
      <c r="T52" s="16"/>
      <c r="U52" s="10"/>
    </row>
    <row r="53" spans="1:21" s="5" customFormat="1" ht="12.75" customHeight="1" x14ac:dyDescent="0.3">
      <c r="A53" s="111" t="s">
        <v>67</v>
      </c>
      <c r="B53" s="11" t="s">
        <v>68</v>
      </c>
      <c r="C53" s="78"/>
      <c r="D53" s="78"/>
      <c r="E53" s="78"/>
      <c r="F53" s="78">
        <f t="shared" si="12"/>
        <v>0</v>
      </c>
      <c r="G53" s="84"/>
      <c r="H53" s="78"/>
      <c r="I53" s="78"/>
      <c r="J53" s="78"/>
      <c r="K53" s="83">
        <f t="shared" si="13"/>
        <v>0</v>
      </c>
      <c r="L53" s="78"/>
      <c r="M53" s="78"/>
      <c r="N53"/>
      <c r="O53"/>
      <c r="P53"/>
      <c r="Q53"/>
      <c r="R53"/>
      <c r="S53"/>
      <c r="T53" s="16"/>
      <c r="U53" s="10"/>
    </row>
    <row r="54" spans="1:21" s="5" customFormat="1" ht="12.75" customHeight="1" x14ac:dyDescent="0.3">
      <c r="A54" s="111" t="s">
        <v>172</v>
      </c>
      <c r="B54" s="11" t="s">
        <v>100</v>
      </c>
      <c r="C54" s="78"/>
      <c r="D54" s="78"/>
      <c r="E54" s="78"/>
      <c r="F54" s="78">
        <f t="shared" si="12"/>
        <v>0</v>
      </c>
      <c r="G54" s="84">
        <v>52000</v>
      </c>
      <c r="H54" s="78"/>
      <c r="I54" s="78"/>
      <c r="J54" s="78"/>
      <c r="K54" s="83">
        <f t="shared" si="13"/>
        <v>52000</v>
      </c>
      <c r="L54" s="78"/>
      <c r="M54" s="78"/>
      <c r="N54"/>
      <c r="O54"/>
      <c r="P54"/>
      <c r="Q54"/>
      <c r="R54"/>
      <c r="S54"/>
      <c r="T54" s="16"/>
    </row>
    <row r="55" spans="1:21" s="5" customFormat="1" ht="12.75" customHeight="1" x14ac:dyDescent="0.3">
      <c r="A55" s="118" t="s">
        <v>173</v>
      </c>
      <c r="B55" s="115" t="s">
        <v>8</v>
      </c>
      <c r="C55" s="103"/>
      <c r="D55" s="90">
        <v>827006.51</v>
      </c>
      <c r="E55" s="103"/>
      <c r="F55" s="103">
        <f t="shared" si="12"/>
        <v>827006.51</v>
      </c>
      <c r="G55" s="104"/>
      <c r="H55" s="103"/>
      <c r="I55" s="103"/>
      <c r="J55" s="103"/>
      <c r="K55" s="136">
        <f>SUM(F55:J55)</f>
        <v>827006.51</v>
      </c>
      <c r="L55" s="78"/>
      <c r="M55" s="78"/>
      <c r="N55"/>
      <c r="O55"/>
      <c r="P55"/>
      <c r="Q55"/>
      <c r="R55"/>
      <c r="S55"/>
      <c r="T55" s="16"/>
      <c r="U55" s="10"/>
    </row>
    <row r="56" spans="1:21" s="5" customFormat="1" ht="12.75" customHeight="1" x14ac:dyDescent="0.3">
      <c r="A56" s="118" t="s">
        <v>174</v>
      </c>
      <c r="B56" s="115" t="s">
        <v>35</v>
      </c>
      <c r="C56" s="103"/>
      <c r="D56" s="90">
        <v>1057978.2</v>
      </c>
      <c r="E56" s="104"/>
      <c r="F56" s="103">
        <f t="shared" si="12"/>
        <v>1057978.2</v>
      </c>
      <c r="G56" s="104"/>
      <c r="H56" s="103"/>
      <c r="I56" s="103"/>
      <c r="J56" s="103"/>
      <c r="K56" s="136">
        <f t="shared" ref="K56:K65" si="14">SUM(F56:J56)</f>
        <v>1057978.2</v>
      </c>
      <c r="L56" s="78"/>
      <c r="M56" s="78"/>
      <c r="N56"/>
      <c r="O56"/>
      <c r="P56"/>
      <c r="Q56"/>
      <c r="T56" s="16"/>
      <c r="U56" s="10"/>
    </row>
    <row r="57" spans="1:21" s="5" customFormat="1" ht="12.75" customHeight="1" x14ac:dyDescent="0.3">
      <c r="A57" s="118" t="s">
        <v>175</v>
      </c>
      <c r="B57" s="115" t="s">
        <v>32</v>
      </c>
      <c r="C57" s="103"/>
      <c r="D57" s="90">
        <v>919086.27</v>
      </c>
      <c r="E57" s="104"/>
      <c r="F57" s="103">
        <f t="shared" si="12"/>
        <v>919086.27</v>
      </c>
      <c r="G57" s="104"/>
      <c r="H57" s="103"/>
      <c r="I57" s="103"/>
      <c r="J57" s="103"/>
      <c r="K57" s="136">
        <f t="shared" si="14"/>
        <v>919086.27</v>
      </c>
      <c r="L57" s="78"/>
      <c r="M57" s="78"/>
      <c r="N57"/>
      <c r="O57"/>
      <c r="P57"/>
      <c r="T57" s="16"/>
      <c r="U57" s="10"/>
    </row>
    <row r="58" spans="1:21" s="5" customFormat="1" ht="12.75" customHeight="1" x14ac:dyDescent="0.3">
      <c r="A58" s="119" t="s">
        <v>83</v>
      </c>
      <c r="B58" s="115" t="s">
        <v>84</v>
      </c>
      <c r="C58" s="103"/>
      <c r="D58" s="90">
        <v>13537.19</v>
      </c>
      <c r="E58" s="104"/>
      <c r="F58" s="103">
        <f t="shared" si="12"/>
        <v>13537.19</v>
      </c>
      <c r="G58" s="104"/>
      <c r="H58" s="103"/>
      <c r="I58" s="103"/>
      <c r="J58" s="103"/>
      <c r="K58" s="136">
        <f t="shared" si="14"/>
        <v>13537.19</v>
      </c>
      <c r="L58" s="78"/>
      <c r="M58" s="78"/>
      <c r="N58"/>
      <c r="O58"/>
      <c r="P58"/>
      <c r="T58" s="16"/>
      <c r="U58" s="10"/>
    </row>
    <row r="59" spans="1:21" s="5" customFormat="1" ht="12.75" customHeight="1" x14ac:dyDescent="0.3">
      <c r="A59" s="118" t="s">
        <v>176</v>
      </c>
      <c r="B59" s="115" t="s">
        <v>61</v>
      </c>
      <c r="C59" s="99"/>
      <c r="D59" s="102">
        <v>-587.19000000000005</v>
      </c>
      <c r="E59" s="99"/>
      <c r="F59" s="103">
        <f t="shared" si="12"/>
        <v>-587.19000000000005</v>
      </c>
      <c r="G59" s="104"/>
      <c r="H59" s="99"/>
      <c r="I59" s="99"/>
      <c r="J59" s="99"/>
      <c r="K59" s="99">
        <f t="shared" si="14"/>
        <v>-587.19000000000005</v>
      </c>
      <c r="L59" s="78"/>
      <c r="M59" s="78"/>
      <c r="N59"/>
      <c r="O59"/>
      <c r="P59"/>
      <c r="T59" s="16"/>
      <c r="U59" s="10"/>
    </row>
    <row r="60" spans="1:21" s="5" customFormat="1" ht="12.75" customHeight="1" x14ac:dyDescent="0.3">
      <c r="A60" s="118" t="s">
        <v>177</v>
      </c>
      <c r="B60" s="115" t="s">
        <v>58</v>
      </c>
      <c r="C60" s="103"/>
      <c r="D60" s="103"/>
      <c r="E60" s="103"/>
      <c r="F60" s="103">
        <f t="shared" si="12"/>
        <v>0</v>
      </c>
      <c r="G60" s="103"/>
      <c r="H60" s="103"/>
      <c r="I60" s="103"/>
      <c r="J60" s="103"/>
      <c r="K60" s="99">
        <f t="shared" si="14"/>
        <v>0</v>
      </c>
      <c r="L60" s="78"/>
      <c r="M60" s="78"/>
      <c r="N60"/>
      <c r="O60" s="20"/>
      <c r="T60" s="16"/>
      <c r="U60" s="10"/>
    </row>
    <row r="61" spans="1:21" s="5" customFormat="1" ht="12.75" customHeight="1" x14ac:dyDescent="0.3">
      <c r="A61" s="118" t="s">
        <v>178</v>
      </c>
      <c r="B61" s="115" t="s">
        <v>54</v>
      </c>
      <c r="C61" s="103"/>
      <c r="D61" s="103"/>
      <c r="E61" s="103"/>
      <c r="F61" s="103">
        <f t="shared" si="12"/>
        <v>0</v>
      </c>
      <c r="G61" s="102">
        <v>-827006.51</v>
      </c>
      <c r="H61" s="103"/>
      <c r="I61" s="103"/>
      <c r="J61" s="103"/>
      <c r="K61" s="136">
        <f t="shared" si="14"/>
        <v>-827006.51</v>
      </c>
      <c r="L61" s="78"/>
      <c r="M61" s="78"/>
      <c r="N61"/>
      <c r="O61" s="20"/>
      <c r="T61" s="16"/>
      <c r="U61" s="10"/>
    </row>
    <row r="62" spans="1:21" s="5" customFormat="1" ht="12.75" customHeight="1" x14ac:dyDescent="0.3">
      <c r="A62" s="118" t="s">
        <v>179</v>
      </c>
      <c r="B62" s="115" t="s">
        <v>60</v>
      </c>
      <c r="C62" s="103"/>
      <c r="D62" s="103"/>
      <c r="E62" s="103"/>
      <c r="F62" s="103">
        <f t="shared" si="12"/>
        <v>0</v>
      </c>
      <c r="G62" s="102">
        <v>-13537.19</v>
      </c>
      <c r="H62" s="103"/>
      <c r="I62" s="103"/>
      <c r="J62" s="103"/>
      <c r="K62" s="136">
        <f t="shared" si="14"/>
        <v>-13537.19</v>
      </c>
      <c r="L62" s="78"/>
      <c r="M62" s="78"/>
      <c r="N62"/>
      <c r="O62" s="78"/>
      <c r="T62" s="16"/>
      <c r="U62" s="10"/>
    </row>
    <row r="63" spans="1:21" s="5" customFormat="1" ht="12.75" customHeight="1" x14ac:dyDescent="0.3">
      <c r="A63" s="118" t="s">
        <v>180</v>
      </c>
      <c r="B63" s="115" t="s">
        <v>55</v>
      </c>
      <c r="C63" s="103"/>
      <c r="D63" s="103"/>
      <c r="E63" s="103"/>
      <c r="F63" s="103">
        <f t="shared" si="12"/>
        <v>0</v>
      </c>
      <c r="G63" s="102">
        <v>-1057978.2</v>
      </c>
      <c r="H63" s="103"/>
      <c r="I63" s="103"/>
      <c r="J63" s="103"/>
      <c r="K63" s="136">
        <f t="shared" si="14"/>
        <v>-1057978.2</v>
      </c>
      <c r="L63" s="78"/>
      <c r="M63" s="78"/>
      <c r="N63"/>
      <c r="O63" s="78"/>
      <c r="T63" s="16"/>
      <c r="U63" s="10"/>
    </row>
    <row r="64" spans="1:21" s="5" customFormat="1" ht="12.75" customHeight="1" x14ac:dyDescent="0.3">
      <c r="A64" s="118" t="s">
        <v>181</v>
      </c>
      <c r="B64" s="115" t="s">
        <v>56</v>
      </c>
      <c r="C64" s="103"/>
      <c r="D64" s="103"/>
      <c r="E64" s="103"/>
      <c r="F64" s="103">
        <f t="shared" si="12"/>
        <v>0</v>
      </c>
      <c r="G64" s="102">
        <v>-919086.27</v>
      </c>
      <c r="H64" s="103"/>
      <c r="I64" s="103"/>
      <c r="J64" s="103"/>
      <c r="K64" s="136">
        <f t="shared" si="14"/>
        <v>-919086.27</v>
      </c>
      <c r="L64" s="78"/>
      <c r="M64" s="78"/>
      <c r="N64"/>
      <c r="O64" s="78"/>
      <c r="T64" s="16"/>
      <c r="U64" s="10"/>
    </row>
    <row r="65" spans="1:39" s="5" customFormat="1" ht="12.75" customHeight="1" x14ac:dyDescent="0.3">
      <c r="A65" s="118" t="s">
        <v>182</v>
      </c>
      <c r="B65" s="115" t="s">
        <v>57</v>
      </c>
      <c r="C65" s="103"/>
      <c r="D65" s="103"/>
      <c r="E65" s="103"/>
      <c r="F65" s="103">
        <f t="shared" si="12"/>
        <v>0</v>
      </c>
      <c r="G65" s="90">
        <v>-33843.89</v>
      </c>
      <c r="H65" s="103"/>
      <c r="I65" s="103"/>
      <c r="J65" s="103"/>
      <c r="K65" s="99">
        <f t="shared" si="14"/>
        <v>-33843.89</v>
      </c>
      <c r="L65" s="78"/>
      <c r="M65" s="78"/>
      <c r="N65"/>
      <c r="O65" s="78"/>
      <c r="T65" s="16"/>
      <c r="U65" s="10"/>
    </row>
    <row r="66" spans="1:39" s="5" customFormat="1" ht="12.75" customHeight="1" x14ac:dyDescent="0.3">
      <c r="A66" s="111"/>
      <c r="B66" s="11"/>
      <c r="C66" s="96">
        <f>SUM(C44:C65)</f>
        <v>0</v>
      </c>
      <c r="D66" s="96">
        <f t="shared" ref="D66:K66" si="15">SUM(D44:D65)</f>
        <v>3961479.9099999997</v>
      </c>
      <c r="E66" s="96">
        <f t="shared" si="15"/>
        <v>359664.5</v>
      </c>
      <c r="F66" s="96">
        <f t="shared" si="15"/>
        <v>4321144.41</v>
      </c>
      <c r="G66" s="96">
        <f>SUM(G44:G65)</f>
        <v>91210531.530000016</v>
      </c>
      <c r="H66" s="96">
        <f t="shared" si="15"/>
        <v>504551.94</v>
      </c>
      <c r="I66" s="96">
        <f t="shared" si="15"/>
        <v>0</v>
      </c>
      <c r="J66" s="96">
        <f>SUM(J46:J65)</f>
        <v>0</v>
      </c>
      <c r="K66" s="96">
        <f t="shared" si="15"/>
        <v>96036227.88000001</v>
      </c>
      <c r="L66" s="96">
        <v>96036227.879999995</v>
      </c>
      <c r="M66" s="147">
        <f>K66-L66</f>
        <v>0</v>
      </c>
      <c r="N66"/>
      <c r="O66" s="78"/>
      <c r="T66" s="10"/>
      <c r="U66" s="10"/>
    </row>
    <row r="67" spans="1:39" s="5" customFormat="1" ht="12.75" customHeight="1" thickBot="1" x14ac:dyDescent="0.35">
      <c r="A67" s="117" t="s">
        <v>69</v>
      </c>
      <c r="B67" s="11"/>
      <c r="C67" s="78"/>
      <c r="D67" s="78"/>
      <c r="E67" s="78"/>
      <c r="F67" s="78"/>
      <c r="G67" s="78" t="s">
        <v>20</v>
      </c>
      <c r="H67" s="78" t="s">
        <v>20</v>
      </c>
      <c r="I67" s="78"/>
      <c r="J67" s="78"/>
      <c r="K67" s="78"/>
      <c r="L67" s="78"/>
      <c r="M67" s="78"/>
      <c r="N67"/>
      <c r="O67" s="78"/>
      <c r="T67" s="10"/>
      <c r="U67" s="10"/>
    </row>
    <row r="68" spans="1:39" s="5" customFormat="1" ht="12.75" customHeight="1" x14ac:dyDescent="0.45">
      <c r="A68" s="112" t="s">
        <v>122</v>
      </c>
      <c r="B68" s="11" t="s">
        <v>70</v>
      </c>
      <c r="C68" s="78"/>
      <c r="D68" s="78"/>
      <c r="E68" s="78"/>
      <c r="F68" s="78">
        <f>SUM(C68:E68)</f>
        <v>0</v>
      </c>
      <c r="G68" s="84">
        <v>56184951</v>
      </c>
      <c r="H68" s="84"/>
      <c r="I68" s="84"/>
      <c r="J68" s="84"/>
      <c r="K68" s="107">
        <f>SUM(F68:J68)</f>
        <v>56184951</v>
      </c>
      <c r="L68" s="78"/>
      <c r="M68" s="78"/>
      <c r="N68"/>
      <c r="O68" s="105" t="s">
        <v>103</v>
      </c>
      <c r="P68" s="106" t="s">
        <v>104</v>
      </c>
      <c r="U68" s="10"/>
    </row>
    <row r="69" spans="1:39" s="5" customFormat="1" ht="12.75" customHeight="1" x14ac:dyDescent="0.3">
      <c r="A69" s="112" t="s">
        <v>133</v>
      </c>
      <c r="B69" s="11" t="s">
        <v>124</v>
      </c>
      <c r="C69" s="78"/>
      <c r="D69" s="84">
        <v>1819718.26</v>
      </c>
      <c r="E69" s="78"/>
      <c r="F69" s="78">
        <f>SUM(C69:E69)</f>
        <v>1819718.26</v>
      </c>
      <c r="G69" s="84"/>
      <c r="H69" s="84"/>
      <c r="I69" s="84"/>
      <c r="J69" s="84"/>
      <c r="K69" s="136">
        <f>SUM(F69:J69)</f>
        <v>1819718.26</v>
      </c>
      <c r="L69" s="78"/>
      <c r="M69" s="78"/>
      <c r="N69"/>
      <c r="O69" s="108" t="s">
        <v>112</v>
      </c>
      <c r="P69" s="74">
        <v>25</v>
      </c>
      <c r="U69" s="10"/>
    </row>
    <row r="70" spans="1:39" s="5" customFormat="1" ht="12.75" customHeight="1" x14ac:dyDescent="0.3">
      <c r="A70" s="112" t="s">
        <v>134</v>
      </c>
      <c r="B70" s="11" t="s">
        <v>135</v>
      </c>
      <c r="C70" s="78"/>
      <c r="D70" s="78"/>
      <c r="E70" s="78"/>
      <c r="F70" s="78">
        <f>SUM(C70:E70)</f>
        <v>0</v>
      </c>
      <c r="G70" s="84">
        <v>-1819718.26</v>
      </c>
      <c r="H70" s="84"/>
      <c r="I70" s="84"/>
      <c r="J70" s="84"/>
      <c r="K70" s="136">
        <f>SUM(F70:J70)</f>
        <v>-1819718.26</v>
      </c>
      <c r="L70" s="78"/>
      <c r="M70" s="78"/>
      <c r="N70"/>
      <c r="O70" s="108" t="s">
        <v>120</v>
      </c>
      <c r="P70" s="74">
        <v>75042</v>
      </c>
      <c r="U70" s="10"/>
    </row>
    <row r="71" spans="1:39" s="5" customFormat="1" ht="12.75" customHeight="1" x14ac:dyDescent="0.3">
      <c r="A71" s="112" t="s">
        <v>115</v>
      </c>
      <c r="B71" s="11" t="s">
        <v>116</v>
      </c>
      <c r="C71" s="78"/>
      <c r="D71" s="78"/>
      <c r="E71" s="78"/>
      <c r="F71" s="78">
        <f t="shared" ref="F71:F72" si="16">SUM(C71:E71)</f>
        <v>0</v>
      </c>
      <c r="G71" s="84">
        <v>41542466</v>
      </c>
      <c r="H71" s="84"/>
      <c r="I71" s="84"/>
      <c r="J71" s="84"/>
      <c r="K71" s="107">
        <f t="shared" ref="K71:K72" si="17">SUM(F71:J71)</f>
        <v>41542466</v>
      </c>
      <c r="L71" s="78"/>
      <c r="M71" s="78"/>
      <c r="N71"/>
      <c r="O71" s="108" t="s">
        <v>121</v>
      </c>
      <c r="P71" s="74">
        <v>29648922</v>
      </c>
      <c r="U71" s="10"/>
    </row>
    <row r="72" spans="1:39" s="5" customFormat="1" ht="12.75" customHeight="1" x14ac:dyDescent="0.3">
      <c r="A72" s="112" t="s">
        <v>114</v>
      </c>
      <c r="B72" s="11" t="s">
        <v>117</v>
      </c>
      <c r="C72" s="78"/>
      <c r="D72" s="78"/>
      <c r="E72" s="78"/>
      <c r="F72" s="78">
        <f t="shared" si="16"/>
        <v>0</v>
      </c>
      <c r="G72" s="84">
        <v>43947028.420000002</v>
      </c>
      <c r="H72" s="84"/>
      <c r="I72" s="84"/>
      <c r="J72" s="84"/>
      <c r="K72" s="107">
        <f t="shared" si="17"/>
        <v>43947028.420000002</v>
      </c>
      <c r="L72" s="78"/>
      <c r="M72" s="78"/>
      <c r="N72"/>
      <c r="O72" s="108" t="s">
        <v>137</v>
      </c>
      <c r="P72" s="74">
        <v>26460962</v>
      </c>
    </row>
    <row r="73" spans="1:39" s="5" customFormat="1" ht="12.75" customHeight="1" x14ac:dyDescent="0.3">
      <c r="A73" s="111"/>
      <c r="B73" s="11"/>
      <c r="C73" s="96">
        <f t="shared" ref="C73:K73" si="18">SUM(C68:C72)</f>
        <v>0</v>
      </c>
      <c r="D73" s="96">
        <f t="shared" si="18"/>
        <v>1819718.26</v>
      </c>
      <c r="E73" s="96">
        <f t="shared" si="18"/>
        <v>0</v>
      </c>
      <c r="F73" s="96">
        <f t="shared" si="18"/>
        <v>1819718.26</v>
      </c>
      <c r="G73" s="96">
        <f t="shared" si="18"/>
        <v>139854727.16000003</v>
      </c>
      <c r="H73" s="96">
        <f t="shared" si="18"/>
        <v>0</v>
      </c>
      <c r="I73" s="96">
        <f t="shared" si="18"/>
        <v>0</v>
      </c>
      <c r="J73" s="96">
        <f t="shared" si="18"/>
        <v>0</v>
      </c>
      <c r="K73" s="96">
        <f t="shared" si="18"/>
        <v>141674445.42000002</v>
      </c>
      <c r="L73" s="96">
        <v>141674445.41999999</v>
      </c>
      <c r="M73" s="79">
        <f>K73-L73</f>
        <v>0</v>
      </c>
      <c r="N73"/>
      <c r="O73" s="108" t="s">
        <v>102</v>
      </c>
      <c r="P73" s="74">
        <v>0</v>
      </c>
    </row>
    <row r="74" spans="1:39" s="5" customFormat="1" ht="12.75" customHeight="1" x14ac:dyDescent="0.3">
      <c r="A74" s="111"/>
      <c r="B74" s="11"/>
      <c r="C74" s="107"/>
      <c r="D74" s="107"/>
      <c r="E74" s="107"/>
      <c r="F74" s="107"/>
      <c r="G74" s="107" t="s">
        <v>20</v>
      </c>
      <c r="H74" s="107"/>
      <c r="I74" s="107"/>
      <c r="J74" s="107"/>
      <c r="K74" s="107"/>
      <c r="L74" s="107"/>
      <c r="M74" s="84"/>
      <c r="N74"/>
      <c r="O74" s="108" t="s">
        <v>108</v>
      </c>
      <c r="P74" s="74">
        <v>0</v>
      </c>
      <c r="S74" s="16"/>
    </row>
    <row r="75" spans="1:39" s="5" customFormat="1" ht="12.75" customHeight="1" x14ac:dyDescent="0.3">
      <c r="A75" s="117" t="s">
        <v>74</v>
      </c>
      <c r="B75" s="11"/>
      <c r="C75" s="78"/>
      <c r="D75" s="78" t="s">
        <v>20</v>
      </c>
      <c r="E75" s="78"/>
      <c r="F75" s="78"/>
      <c r="G75" s="78" t="s">
        <v>20</v>
      </c>
      <c r="H75" s="78"/>
      <c r="I75" s="78"/>
      <c r="J75" s="78"/>
      <c r="K75" s="78"/>
      <c r="L75" s="78"/>
      <c r="M75" s="78"/>
      <c r="N75"/>
      <c r="O75" s="108" t="s">
        <v>20</v>
      </c>
      <c r="P75" s="74"/>
      <c r="S75" s="16"/>
    </row>
    <row r="76" spans="1:39" s="5" customFormat="1" ht="12.75" customHeight="1" thickBot="1" x14ac:dyDescent="0.35">
      <c r="A76" s="112" t="s">
        <v>126</v>
      </c>
      <c r="B76" s="11" t="s">
        <v>127</v>
      </c>
      <c r="C76" s="78"/>
      <c r="D76" s="78">
        <v>0</v>
      </c>
      <c r="E76" s="78">
        <v>0</v>
      </c>
      <c r="F76" s="78">
        <f>SUM(C76:E76)</f>
        <v>0</v>
      </c>
      <c r="G76" s="84">
        <v>135400.9</v>
      </c>
      <c r="H76" s="84"/>
      <c r="I76" s="84"/>
      <c r="J76" s="84"/>
      <c r="K76" s="107">
        <f>SUM(F76:J76)</f>
        <v>135400.9</v>
      </c>
      <c r="L76" s="78"/>
      <c r="M76" s="78"/>
      <c r="N76"/>
      <c r="O76" s="82"/>
      <c r="P76" s="109">
        <f>SUM(P69:P75)</f>
        <v>56184951</v>
      </c>
    </row>
    <row r="77" spans="1:39" s="5" customFormat="1" ht="12.75" customHeight="1" x14ac:dyDescent="0.3">
      <c r="A77" s="111"/>
      <c r="B77" s="11"/>
      <c r="C77" s="96">
        <f t="shared" ref="C77:J77" si="19">SUM(C76:C76)</f>
        <v>0</v>
      </c>
      <c r="D77" s="96">
        <f t="shared" si="19"/>
        <v>0</v>
      </c>
      <c r="E77" s="96">
        <f t="shared" si="19"/>
        <v>0</v>
      </c>
      <c r="F77" s="96">
        <f t="shared" si="19"/>
        <v>0</v>
      </c>
      <c r="G77" s="96">
        <f t="shared" si="19"/>
        <v>135400.9</v>
      </c>
      <c r="H77" s="96">
        <f t="shared" si="19"/>
        <v>0</v>
      </c>
      <c r="I77" s="96">
        <f t="shared" si="19"/>
        <v>0</v>
      </c>
      <c r="J77" s="96">
        <f t="shared" si="19"/>
        <v>0</v>
      </c>
      <c r="K77" s="96">
        <f>SUM(K76:K76)</f>
        <v>135400.9</v>
      </c>
      <c r="L77" s="96">
        <v>135400.9</v>
      </c>
      <c r="M77" s="79">
        <f>K77-L77</f>
        <v>0</v>
      </c>
      <c r="N77"/>
      <c r="O77" s="78"/>
    </row>
    <row r="78" spans="1:39" s="5" customFormat="1" ht="12.75" customHeight="1" x14ac:dyDescent="0.3">
      <c r="A78" s="117" t="s">
        <v>22</v>
      </c>
      <c r="B78" s="11"/>
      <c r="C78" s="78"/>
      <c r="D78" s="78" t="s">
        <v>20</v>
      </c>
      <c r="E78" s="78"/>
      <c r="F78" s="78"/>
      <c r="G78" s="78" t="s">
        <v>20</v>
      </c>
      <c r="H78" s="78"/>
      <c r="I78" s="78"/>
      <c r="J78" s="78"/>
      <c r="K78" s="78"/>
      <c r="L78" s="78"/>
      <c r="M78" s="78"/>
      <c r="N78"/>
      <c r="O78" s="78"/>
    </row>
    <row r="79" spans="1:39" ht="12.75" customHeight="1" x14ac:dyDescent="0.3">
      <c r="A79" s="111" t="s">
        <v>183</v>
      </c>
      <c r="B79" s="11" t="s">
        <v>40</v>
      </c>
      <c r="C79" s="78">
        <v>0</v>
      </c>
      <c r="D79" s="78">
        <v>0</v>
      </c>
      <c r="E79" s="78">
        <v>0</v>
      </c>
      <c r="F79" s="78">
        <f>SUM(C79:E79)</f>
        <v>0</v>
      </c>
      <c r="G79" s="78">
        <v>0</v>
      </c>
      <c r="H79" s="78"/>
      <c r="I79" s="78"/>
      <c r="J79" s="78"/>
      <c r="K79" s="83">
        <f>SUM(F79:J79)</f>
        <v>0</v>
      </c>
      <c r="AM79" s="11"/>
    </row>
    <row r="80" spans="1:39" ht="12.75" customHeight="1" x14ac:dyDescent="0.3">
      <c r="C80" s="96">
        <f t="shared" ref="C80:J80" si="20">SUM(C79:C79)</f>
        <v>0</v>
      </c>
      <c r="D80" s="96">
        <f t="shared" si="20"/>
        <v>0</v>
      </c>
      <c r="E80" s="96">
        <f t="shared" si="20"/>
        <v>0</v>
      </c>
      <c r="F80" s="96">
        <f t="shared" si="20"/>
        <v>0</v>
      </c>
      <c r="G80" s="96">
        <f t="shared" si="20"/>
        <v>0</v>
      </c>
      <c r="H80" s="96">
        <f t="shared" si="20"/>
        <v>0</v>
      </c>
      <c r="I80" s="96">
        <f t="shared" si="20"/>
        <v>0</v>
      </c>
      <c r="J80" s="96">
        <f t="shared" si="20"/>
        <v>0</v>
      </c>
      <c r="K80" s="96">
        <f>SUM(K79:K79)</f>
        <v>0</v>
      </c>
      <c r="L80" s="96">
        <f>SUM(K79:K79)</f>
        <v>0</v>
      </c>
      <c r="M80" s="79">
        <f>K80-L80</f>
        <v>0</v>
      </c>
      <c r="AM80" s="11"/>
    </row>
    <row r="81" spans="1:39" ht="12.75" customHeight="1" x14ac:dyDescent="0.3"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84"/>
    </row>
    <row r="82" spans="1:39" ht="12.75" customHeight="1" thickBot="1" x14ac:dyDescent="0.35">
      <c r="B82" s="116" t="s">
        <v>62</v>
      </c>
      <c r="C82" s="110">
        <f t="shared" ref="C82:K82" si="21">C13+C23+C31+C42+C66+C73+C80</f>
        <v>37134493.420000002</v>
      </c>
      <c r="D82" s="110">
        <f t="shared" si="21"/>
        <v>36287352.609999999</v>
      </c>
      <c r="E82" s="110">
        <f t="shared" si="21"/>
        <v>359664.5</v>
      </c>
      <c r="F82" s="110">
        <f t="shared" si="21"/>
        <v>73781510.530000001</v>
      </c>
      <c r="G82" s="110">
        <f>G13+G23+G31+G42+G66+G73+G80</f>
        <v>350491035.18000007</v>
      </c>
      <c r="H82" s="110">
        <f t="shared" si="21"/>
        <v>504551.94</v>
      </c>
      <c r="I82" s="110">
        <f t="shared" si="21"/>
        <v>0</v>
      </c>
      <c r="J82" s="110">
        <f t="shared" si="21"/>
        <v>0</v>
      </c>
      <c r="K82" s="110">
        <f t="shared" si="21"/>
        <v>424777097.65000004</v>
      </c>
      <c r="L82" s="110">
        <f>SUM(L13:L81)</f>
        <v>424912498.54999995</v>
      </c>
      <c r="O82" s="11"/>
      <c r="P82" s="11"/>
    </row>
    <row r="83" spans="1:39" ht="12.75" customHeight="1" thickTop="1" x14ac:dyDescent="0.3">
      <c r="O83" s="11"/>
      <c r="P83" s="11"/>
    </row>
    <row r="84" spans="1:39" s="20" customFormat="1" ht="12.75" customHeight="1" x14ac:dyDescent="0.3">
      <c r="A84" s="111"/>
      <c r="B84" s="11"/>
      <c r="D84" s="20" t="s">
        <v>20</v>
      </c>
      <c r="H84" s="20" t="s">
        <v>20</v>
      </c>
      <c r="L84" s="78"/>
      <c r="M84" s="78"/>
      <c r="N84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s="20" customFormat="1" ht="12.75" customHeight="1" x14ac:dyDescent="0.3">
      <c r="A85" s="111"/>
      <c r="B85" s="11"/>
      <c r="L85" s="78"/>
      <c r="M85" s="78"/>
      <c r="N8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8" spans="1:39" ht="12.75" customHeight="1" x14ac:dyDescent="0.3">
      <c r="O88" s="83"/>
    </row>
    <row r="89" spans="1:39" ht="12.75" customHeight="1" x14ac:dyDescent="0.3">
      <c r="O89" s="83"/>
    </row>
    <row r="100" spans="1:39" s="78" customFormat="1" ht="12.75" customHeight="1" x14ac:dyDescent="0.3">
      <c r="A100" s="111"/>
      <c r="B100" s="11"/>
      <c r="C100" s="20"/>
      <c r="D100" s="20"/>
      <c r="E100" s="20"/>
      <c r="F100" s="20"/>
      <c r="G100" s="20"/>
      <c r="H100" s="20"/>
      <c r="I100" s="20"/>
      <c r="J100" s="20"/>
      <c r="K100" s="20"/>
      <c r="N10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78" customFormat="1" ht="12.75" customHeight="1" x14ac:dyDescent="0.3">
      <c r="A101" s="111"/>
      <c r="B101" s="11"/>
      <c r="C101" s="20"/>
      <c r="D101" s="20"/>
      <c r="E101" s="20"/>
      <c r="F101" s="20"/>
      <c r="G101" s="20"/>
      <c r="H101" s="20"/>
      <c r="I101" s="20"/>
      <c r="J101" s="20"/>
      <c r="K101" s="20"/>
      <c r="N101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78" customFormat="1" ht="12.75" customHeight="1" x14ac:dyDescent="0.3">
      <c r="A102" s="111"/>
      <c r="B102" s="11"/>
      <c r="C102" s="20"/>
      <c r="D102" s="20"/>
      <c r="E102" s="20"/>
      <c r="F102" s="20"/>
      <c r="G102" s="20"/>
      <c r="H102" s="20"/>
      <c r="I102" s="20"/>
      <c r="J102" s="20"/>
      <c r="K102" s="20"/>
      <c r="N102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78" customFormat="1" ht="12.75" customHeight="1" x14ac:dyDescent="0.3">
      <c r="A103" s="111"/>
      <c r="B103" s="11"/>
      <c r="C103" s="20"/>
      <c r="D103" s="20"/>
      <c r="E103" s="20"/>
      <c r="F103" s="20"/>
      <c r="G103" s="20"/>
      <c r="H103" s="20"/>
      <c r="I103" s="20"/>
      <c r="J103" s="20"/>
      <c r="K103" s="20"/>
      <c r="N103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78" customFormat="1" ht="12.75" customHeight="1" x14ac:dyDescent="0.3">
      <c r="A104" s="111"/>
      <c r="B104" s="11"/>
      <c r="C104" s="20"/>
      <c r="D104" s="20"/>
      <c r="E104" s="20"/>
      <c r="F104" s="20"/>
      <c r="G104" s="20"/>
      <c r="H104" s="20"/>
      <c r="I104" s="20"/>
      <c r="J104" s="20"/>
      <c r="K104" s="20"/>
      <c r="N10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78" customFormat="1" ht="12.75" customHeight="1" x14ac:dyDescent="0.3">
      <c r="A105" s="111"/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N10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78" customFormat="1" ht="12.75" customHeight="1" x14ac:dyDescent="0.3">
      <c r="A106" s="111"/>
      <c r="B106" s="11"/>
      <c r="C106" s="20"/>
      <c r="D106" s="20"/>
      <c r="E106" s="20"/>
      <c r="F106" s="20"/>
      <c r="G106" s="20"/>
      <c r="H106" s="20"/>
      <c r="I106" s="20"/>
      <c r="J106" s="20"/>
      <c r="K106" s="20"/>
      <c r="N106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78" customFormat="1" ht="12.75" customHeight="1" x14ac:dyDescent="0.3">
      <c r="A107" s="111"/>
      <c r="B107" s="11"/>
      <c r="C107" s="20"/>
      <c r="D107" s="20"/>
      <c r="E107" s="20"/>
      <c r="F107" s="20"/>
      <c r="G107" s="20"/>
      <c r="H107" s="20"/>
      <c r="I107" s="20"/>
      <c r="J107" s="20"/>
      <c r="K107" s="20"/>
      <c r="N107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78" customFormat="1" ht="12.75" customHeight="1" x14ac:dyDescent="0.3">
      <c r="A108" s="111"/>
      <c r="B108" s="11"/>
      <c r="C108" s="20"/>
      <c r="D108" s="20"/>
      <c r="E108" s="20"/>
      <c r="F108" s="20"/>
      <c r="G108" s="20"/>
      <c r="H108" s="20"/>
      <c r="I108" s="20"/>
      <c r="J108" s="20"/>
      <c r="K108" s="20"/>
      <c r="N10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</sheetData>
  <sortState xmlns:xlrd2="http://schemas.microsoft.com/office/spreadsheetml/2017/richdata2" ref="O18:P24">
    <sortCondition ref="P18:P24"/>
  </sortState>
  <printOptions horizontalCentered="1" gridLines="1"/>
  <pageMargins left="0" right="0" top="1" bottom="0.75" header="0.5" footer="0.5"/>
  <pageSetup paperSize="5" scale="70" fitToHeight="2" orientation="landscape" cellComments="asDisplayed" r:id="rId1"/>
  <headerFooter alignWithMargins="0">
    <oddHeader>&amp;L&amp;D&amp;R&amp;P of &amp;N</oddHeader>
    <oddFooter>&amp;R&amp;Z&amp;F</oddFooter>
  </headerFooter>
  <rowBreaks count="1" manualBreakCount="1">
    <brk id="4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09"/>
  <sheetViews>
    <sheetView zoomScaleNormal="100" workbookViewId="0">
      <pane xSplit="2" ySplit="1" topLeftCell="C2" activePane="bottomRight" state="frozenSplit"/>
      <selection activeCell="T4" sqref="T4"/>
      <selection pane="topRight" activeCell="T4" sqref="T4"/>
      <selection pane="bottomLeft" activeCell="T4" sqref="T4"/>
      <selection pane="bottomRight" activeCell="R35" sqref="R35"/>
    </sheetView>
  </sheetViews>
  <sheetFormatPr defaultColWidth="9.140625" defaultRowHeight="13.5" x14ac:dyDescent="0.3"/>
  <cols>
    <col min="1" max="1" width="17.5703125" style="16" customWidth="1"/>
    <col min="2" max="2" width="48.140625" style="10" customWidth="1"/>
    <col min="3" max="3" width="15.85546875" style="25" customWidth="1"/>
    <col min="4" max="4" width="14.42578125" style="25" customWidth="1"/>
    <col min="5" max="5" width="13.5703125" style="25" customWidth="1"/>
    <col min="6" max="6" width="13.42578125" style="25" customWidth="1"/>
    <col min="7" max="7" width="13.5703125" style="25" customWidth="1"/>
    <col min="8" max="8" width="12.140625" style="25" customWidth="1"/>
    <col min="9" max="9" width="13.7109375" style="25" customWidth="1"/>
    <col min="10" max="10" width="13.42578125" style="25" customWidth="1"/>
    <col min="11" max="11" width="13.85546875" style="25" customWidth="1"/>
    <col min="12" max="12" width="15.5703125" style="24" customWidth="1"/>
    <col min="13" max="13" width="14.42578125" style="3" customWidth="1"/>
    <col min="14" max="14" width="14.7109375" style="18" customWidth="1"/>
    <col min="15" max="15" width="19.28515625" style="4" customWidth="1"/>
    <col min="16" max="16" width="19.7109375" style="5" customWidth="1"/>
    <col min="17" max="17" width="11.42578125" style="5" customWidth="1"/>
    <col min="18" max="18" width="12.28515625" style="5" customWidth="1"/>
    <col min="19" max="19" width="12.85546875" style="5" customWidth="1"/>
    <col min="20" max="20" width="13.28515625" style="5" customWidth="1"/>
    <col min="21" max="21" width="9.140625" style="5"/>
    <col min="22" max="22" width="10.5703125" style="5" customWidth="1"/>
    <col min="23" max="38" width="9.140625" style="5"/>
    <col min="39" max="16384" width="9.140625" style="11"/>
  </cols>
  <sheetData>
    <row r="1" spans="1:38" s="44" customFormat="1" ht="42.75" x14ac:dyDescent="0.45">
      <c r="A1" s="43" t="s">
        <v>38</v>
      </c>
      <c r="B1" s="44" t="s">
        <v>0</v>
      </c>
      <c r="C1" s="45" t="s">
        <v>10</v>
      </c>
      <c r="D1" s="45" t="s">
        <v>11</v>
      </c>
      <c r="E1" s="45" t="s">
        <v>12</v>
      </c>
      <c r="F1" s="45" t="s">
        <v>1</v>
      </c>
      <c r="G1" s="45" t="s">
        <v>13</v>
      </c>
      <c r="H1" s="45" t="s">
        <v>14</v>
      </c>
      <c r="I1" s="45" t="s">
        <v>59</v>
      </c>
      <c r="J1" s="45" t="s">
        <v>75</v>
      </c>
      <c r="K1" s="45" t="s">
        <v>15</v>
      </c>
      <c r="L1" s="46" t="s">
        <v>66</v>
      </c>
      <c r="M1" s="47" t="s">
        <v>63</v>
      </c>
      <c r="N1" s="48"/>
      <c r="O1" s="4"/>
      <c r="P1" s="4"/>
      <c r="Q1" s="4"/>
      <c r="R1" s="4"/>
      <c r="S1" s="4"/>
      <c r="T1" s="4"/>
      <c r="U1" s="4"/>
      <c r="V1" s="4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s="1" customFormat="1" x14ac:dyDescent="0.3">
      <c r="A2" s="6" t="s">
        <v>16</v>
      </c>
      <c r="C2" s="26"/>
      <c r="D2" s="26"/>
      <c r="E2" s="26"/>
      <c r="F2" s="26"/>
      <c r="G2" s="26"/>
      <c r="H2" s="26"/>
      <c r="I2" s="26"/>
      <c r="J2" s="26"/>
      <c r="K2" s="26"/>
      <c r="L2" s="24"/>
      <c r="M2" s="3"/>
      <c r="N2" s="18"/>
      <c r="O2" s="4"/>
      <c r="P2" s="5"/>
      <c r="Q2" s="5"/>
      <c r="R2" s="5"/>
      <c r="S2" s="5"/>
      <c r="T2" s="5"/>
      <c r="U2" s="5"/>
      <c r="V2" s="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1" customFormat="1" x14ac:dyDescent="0.3">
      <c r="A3" s="7">
        <v>250</v>
      </c>
      <c r="B3" s="8" t="s">
        <v>4</v>
      </c>
      <c r="C3" s="26"/>
      <c r="D3" s="34"/>
      <c r="E3" s="36"/>
      <c r="F3" s="27">
        <f t="shared" ref="F3:F13" si="0">SUM(C3:E3)</f>
        <v>0</v>
      </c>
      <c r="G3" s="24">
        <v>86393926.549999997</v>
      </c>
      <c r="H3" s="26"/>
      <c r="I3" s="32"/>
      <c r="J3" s="36"/>
      <c r="K3" s="37">
        <f t="shared" ref="K3:K13" si="1">F3+G3+H3+I3+J3</f>
        <v>86393926.549999997</v>
      </c>
      <c r="L3" s="24"/>
      <c r="M3" s="3"/>
      <c r="N3" s="18"/>
      <c r="O3" s="4"/>
      <c r="T3" s="5"/>
      <c r="U3" s="5"/>
      <c r="V3" s="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1" customFormat="1" x14ac:dyDescent="0.3">
      <c r="A4" s="7">
        <v>251</v>
      </c>
      <c r="B4" s="8" t="s">
        <v>26</v>
      </c>
      <c r="C4" s="26"/>
      <c r="D4" s="26"/>
      <c r="E4" s="36"/>
      <c r="F4" s="27">
        <f t="shared" si="0"/>
        <v>0</v>
      </c>
      <c r="G4" s="34">
        <v>0</v>
      </c>
      <c r="H4" s="32"/>
      <c r="I4" s="32"/>
      <c r="J4" s="32"/>
      <c r="K4" s="37">
        <f t="shared" si="1"/>
        <v>0</v>
      </c>
      <c r="L4" s="24"/>
      <c r="M4" s="3"/>
      <c r="N4" s="18"/>
      <c r="O4" s="4"/>
      <c r="T4" s="5"/>
      <c r="U4" s="5"/>
      <c r="V4" s="5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1" customFormat="1" ht="15.75" x14ac:dyDescent="0.45">
      <c r="A5" s="7">
        <v>260</v>
      </c>
      <c r="B5" s="8" t="s">
        <v>17</v>
      </c>
      <c r="C5" s="26"/>
      <c r="D5" s="26"/>
      <c r="E5" s="26"/>
      <c r="F5" s="27">
        <f t="shared" si="0"/>
        <v>0</v>
      </c>
      <c r="G5" s="34">
        <v>12053141.939999999</v>
      </c>
      <c r="H5" s="32"/>
      <c r="I5" s="32"/>
      <c r="J5" s="32"/>
      <c r="K5" s="37">
        <f t="shared" si="1"/>
        <v>12053141.939999999</v>
      </c>
      <c r="L5" s="19" t="s">
        <v>18</v>
      </c>
      <c r="M5" s="3"/>
      <c r="N5" s="18"/>
      <c r="P5" s="5"/>
      <c r="Q5" s="14" t="s">
        <v>86</v>
      </c>
      <c r="R5" s="5"/>
      <c r="S5" s="5"/>
      <c r="T5" s="5"/>
      <c r="U5" s="5"/>
      <c r="V5" s="5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1" customFormat="1" x14ac:dyDescent="0.3">
      <c r="A6" s="9" t="s">
        <v>87</v>
      </c>
      <c r="B6" s="8" t="s">
        <v>88</v>
      </c>
      <c r="C6" s="26"/>
      <c r="D6" s="26"/>
      <c r="E6" s="26"/>
      <c r="F6" s="27">
        <f t="shared" si="0"/>
        <v>0</v>
      </c>
      <c r="G6" s="32">
        <v>5157904.5199999996</v>
      </c>
      <c r="H6" s="32"/>
      <c r="I6" s="32"/>
      <c r="J6" s="32"/>
      <c r="K6" s="37">
        <f t="shared" si="1"/>
        <v>5157904.5199999996</v>
      </c>
      <c r="L6" s="19"/>
      <c r="M6" s="3"/>
      <c r="N6" s="18"/>
      <c r="P6" s="65" t="s">
        <v>98</v>
      </c>
      <c r="Q6" s="66">
        <v>0</v>
      </c>
      <c r="R6" s="50" t="s">
        <v>105</v>
      </c>
      <c r="S6" s="51" t="s">
        <v>87</v>
      </c>
      <c r="T6" s="5"/>
      <c r="U6" s="5"/>
      <c r="V6" s="5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1" customFormat="1" x14ac:dyDescent="0.3">
      <c r="A7" s="7">
        <v>270</v>
      </c>
      <c r="B7" s="10" t="s">
        <v>42</v>
      </c>
      <c r="C7" s="26"/>
      <c r="D7" s="69"/>
      <c r="E7" s="26"/>
      <c r="F7" s="27">
        <f t="shared" si="0"/>
        <v>0</v>
      </c>
      <c r="G7" s="32">
        <v>10511075.220000001</v>
      </c>
      <c r="H7" s="32"/>
      <c r="I7" s="32"/>
      <c r="J7" s="32"/>
      <c r="K7" s="37">
        <f t="shared" si="1"/>
        <v>10511075.220000001</v>
      </c>
      <c r="L7" s="19"/>
      <c r="M7" s="3"/>
      <c r="N7" s="34"/>
      <c r="P7" s="5"/>
      <c r="Q7" s="66">
        <v>0</v>
      </c>
      <c r="R7" s="50" t="s">
        <v>106</v>
      </c>
      <c r="S7" s="51" t="s">
        <v>87</v>
      </c>
      <c r="T7" s="5"/>
      <c r="U7" s="5"/>
      <c r="V7" s="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1" customFormat="1" x14ac:dyDescent="0.3">
      <c r="A8" s="7">
        <v>333</v>
      </c>
      <c r="B8" s="10" t="s">
        <v>27</v>
      </c>
      <c r="C8" s="32"/>
      <c r="D8" s="32">
        <v>4445655.3899999997</v>
      </c>
      <c r="E8" s="26"/>
      <c r="F8" s="27">
        <f t="shared" si="0"/>
        <v>4445655.3899999997</v>
      </c>
      <c r="H8" s="32"/>
      <c r="I8" s="32"/>
      <c r="J8" s="32"/>
      <c r="K8" s="37">
        <f t="shared" si="1"/>
        <v>4445655.3899999997</v>
      </c>
      <c r="L8" s="19"/>
      <c r="M8" s="3"/>
      <c r="N8" s="34"/>
      <c r="P8" s="5"/>
      <c r="Q8" s="66">
        <v>0</v>
      </c>
      <c r="R8" s="50" t="s">
        <v>111</v>
      </c>
      <c r="S8" s="51" t="s">
        <v>87</v>
      </c>
      <c r="T8" s="5"/>
      <c r="U8" s="5"/>
      <c r="V8" s="5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x14ac:dyDescent="0.3">
      <c r="A9" s="7" t="s">
        <v>80</v>
      </c>
      <c r="B9" s="10" t="s">
        <v>2</v>
      </c>
      <c r="C9" s="24"/>
      <c r="D9" s="33">
        <v>17562518.719999999</v>
      </c>
      <c r="E9" s="26"/>
      <c r="F9" s="27">
        <f t="shared" si="0"/>
        <v>17562518.719999999</v>
      </c>
      <c r="H9" s="24"/>
      <c r="I9" s="24"/>
      <c r="J9" s="24"/>
      <c r="K9" s="37">
        <f t="shared" si="1"/>
        <v>17562518.719999999</v>
      </c>
      <c r="N9" s="34"/>
      <c r="O9" s="1"/>
      <c r="Q9" s="65">
        <v>10448</v>
      </c>
      <c r="R9" s="50" t="s">
        <v>123</v>
      </c>
      <c r="S9" s="51" t="s">
        <v>87</v>
      </c>
    </row>
    <row r="10" spans="1:38" x14ac:dyDescent="0.3">
      <c r="A10" s="7">
        <v>320</v>
      </c>
      <c r="B10" s="10" t="s">
        <v>73</v>
      </c>
      <c r="C10" s="24"/>
      <c r="D10" s="24">
        <v>0</v>
      </c>
      <c r="E10" s="26"/>
      <c r="F10" s="27">
        <f t="shared" si="0"/>
        <v>0</v>
      </c>
      <c r="H10" s="24"/>
      <c r="I10" s="24"/>
      <c r="J10" s="24"/>
      <c r="K10" s="37">
        <f t="shared" si="1"/>
        <v>0</v>
      </c>
      <c r="N10" s="34"/>
      <c r="O10" s="1"/>
      <c r="Q10" s="65">
        <v>6124</v>
      </c>
      <c r="R10" s="70" t="s">
        <v>128</v>
      </c>
      <c r="S10" s="51" t="s">
        <v>87</v>
      </c>
    </row>
    <row r="11" spans="1:38" ht="14.25" thickBot="1" x14ac:dyDescent="0.35">
      <c r="A11" s="7" t="s">
        <v>81</v>
      </c>
      <c r="B11" s="10" t="s">
        <v>3</v>
      </c>
      <c r="C11" s="33"/>
      <c r="D11" s="33">
        <v>2831501.68</v>
      </c>
      <c r="E11" s="33"/>
      <c r="F11" s="27">
        <f t="shared" si="0"/>
        <v>2831501.68</v>
      </c>
      <c r="G11" s="33"/>
      <c r="H11" s="33"/>
      <c r="I11" s="33"/>
      <c r="J11" s="33"/>
      <c r="K11" s="37">
        <f t="shared" si="1"/>
        <v>2831501.68</v>
      </c>
      <c r="N11" s="34"/>
      <c r="O11" s="1"/>
      <c r="P11" s="4"/>
      <c r="Q11" s="67">
        <f>SUM(Q6:Q10)</f>
        <v>16572</v>
      </c>
      <c r="R11" s="56"/>
    </row>
    <row r="12" spans="1:38" x14ac:dyDescent="0.3">
      <c r="A12" s="7">
        <v>9610</v>
      </c>
      <c r="B12" s="10" t="s">
        <v>43</v>
      </c>
      <c r="C12" s="33"/>
      <c r="D12" s="33"/>
      <c r="E12" s="33"/>
      <c r="F12" s="27">
        <f t="shared" si="0"/>
        <v>0</v>
      </c>
      <c r="G12" s="33">
        <v>-17562518.719999999</v>
      </c>
      <c r="H12" s="33"/>
      <c r="I12" s="33"/>
      <c r="J12" s="33"/>
      <c r="K12" s="37">
        <f t="shared" si="1"/>
        <v>-17562518.719999999</v>
      </c>
      <c r="M12" s="3">
        <f>D9+G12</f>
        <v>0</v>
      </c>
      <c r="P12" s="4"/>
      <c r="Q12" s="77" t="s">
        <v>109</v>
      </c>
    </row>
    <row r="13" spans="1:38" x14ac:dyDescent="0.3">
      <c r="A13" s="7">
        <v>9617</v>
      </c>
      <c r="B13" s="8" t="s">
        <v>44</v>
      </c>
      <c r="C13" s="33"/>
      <c r="D13" s="33"/>
      <c r="E13" s="33"/>
      <c r="F13" s="27">
        <f t="shared" si="0"/>
        <v>0</v>
      </c>
      <c r="G13" s="33">
        <v>-2831501.68</v>
      </c>
      <c r="H13" s="33"/>
      <c r="I13" s="33"/>
      <c r="J13" s="33"/>
      <c r="K13" s="37">
        <f t="shared" si="1"/>
        <v>-2831501.68</v>
      </c>
    </row>
    <row r="14" spans="1:38" x14ac:dyDescent="0.3">
      <c r="A14" s="7"/>
      <c r="C14" s="28">
        <f t="shared" ref="C14:J14" si="2">SUM(C3:C13)</f>
        <v>0</v>
      </c>
      <c r="D14" s="28">
        <f t="shared" si="2"/>
        <v>24839675.789999999</v>
      </c>
      <c r="E14" s="28">
        <f t="shared" si="2"/>
        <v>0</v>
      </c>
      <c r="F14" s="28">
        <f t="shared" si="2"/>
        <v>24839675.789999999</v>
      </c>
      <c r="G14" s="28">
        <f t="shared" si="2"/>
        <v>93722027.829999983</v>
      </c>
      <c r="H14" s="28">
        <f t="shared" si="2"/>
        <v>0</v>
      </c>
      <c r="I14" s="28">
        <f t="shared" si="2"/>
        <v>0</v>
      </c>
      <c r="J14" s="28">
        <f t="shared" si="2"/>
        <v>0</v>
      </c>
      <c r="K14" s="28">
        <f>SUM(K3:K13)</f>
        <v>118561703.61999997</v>
      </c>
      <c r="L14" s="28">
        <v>118561703.62</v>
      </c>
      <c r="M14" s="64">
        <f>K14-L14</f>
        <v>0</v>
      </c>
      <c r="N14" s="24">
        <f>K14</f>
        <v>118561703.61999997</v>
      </c>
      <c r="O14" s="63" t="s">
        <v>78</v>
      </c>
    </row>
    <row r="15" spans="1:38" x14ac:dyDescent="0.3">
      <c r="A15" s="6" t="s">
        <v>19</v>
      </c>
      <c r="B15" s="12"/>
      <c r="C15" s="24"/>
      <c r="D15" s="24"/>
      <c r="E15" s="24"/>
      <c r="F15" s="24" t="s">
        <v>20</v>
      </c>
      <c r="G15" s="24"/>
      <c r="H15" s="24"/>
      <c r="I15" s="24"/>
      <c r="J15" s="24"/>
      <c r="K15" s="24"/>
      <c r="N15" s="25">
        <f>K24</f>
        <v>5029634.68</v>
      </c>
      <c r="O15" s="4" t="s">
        <v>79</v>
      </c>
    </row>
    <row r="16" spans="1:38" x14ac:dyDescent="0.3">
      <c r="A16" s="7">
        <v>252</v>
      </c>
      <c r="B16" s="10" t="s">
        <v>24</v>
      </c>
      <c r="C16" s="24"/>
      <c r="D16" s="24"/>
      <c r="E16" s="24"/>
      <c r="F16" s="24">
        <f t="shared" ref="F16:F23" si="3">SUM(C16:E16)</f>
        <v>0</v>
      </c>
      <c r="G16" s="24">
        <v>3762038.07</v>
      </c>
      <c r="H16" s="24"/>
      <c r="I16" s="24"/>
      <c r="J16" s="24"/>
      <c r="K16" s="39">
        <f>SUM(F16:J16)</f>
        <v>3762038.07</v>
      </c>
      <c r="M16" s="3" t="s">
        <v>20</v>
      </c>
      <c r="N16" s="18">
        <f>K78</f>
        <v>4950373</v>
      </c>
      <c r="O16" s="4" t="s">
        <v>132</v>
      </c>
    </row>
    <row r="17" spans="1:38" x14ac:dyDescent="0.3">
      <c r="A17" s="7">
        <v>262</v>
      </c>
      <c r="B17" s="10" t="s">
        <v>41</v>
      </c>
      <c r="C17" s="24"/>
      <c r="D17" s="24"/>
      <c r="E17" s="24"/>
      <c r="F17" s="24">
        <f t="shared" si="3"/>
        <v>0</v>
      </c>
      <c r="G17" s="24">
        <v>1267596.6100000001</v>
      </c>
      <c r="H17" s="24"/>
      <c r="I17" s="24"/>
      <c r="J17" s="24"/>
      <c r="K17" s="39">
        <f t="shared" ref="K17:K23" si="4">SUM(F17:J17)</f>
        <v>1267596.6100000001</v>
      </c>
      <c r="N17" s="22">
        <f>SUM(N14:N16)</f>
        <v>128541711.29999998</v>
      </c>
    </row>
    <row r="18" spans="1:38" x14ac:dyDescent="0.3">
      <c r="A18" s="9" t="s">
        <v>89</v>
      </c>
      <c r="B18" s="10" t="s">
        <v>90</v>
      </c>
      <c r="C18" s="24"/>
      <c r="D18" s="24"/>
      <c r="E18" s="24"/>
      <c r="F18" s="24">
        <f t="shared" si="3"/>
        <v>0</v>
      </c>
      <c r="G18" s="24"/>
      <c r="H18" s="24"/>
      <c r="I18" s="24"/>
      <c r="J18" s="24"/>
      <c r="K18" s="39">
        <f t="shared" si="4"/>
        <v>0</v>
      </c>
      <c r="N18" s="25">
        <v>0</v>
      </c>
      <c r="O18" s="13" t="s">
        <v>101</v>
      </c>
    </row>
    <row r="19" spans="1:38" s="4" customFormat="1" x14ac:dyDescent="0.3">
      <c r="A19" s="7">
        <v>321</v>
      </c>
      <c r="B19" s="10" t="s">
        <v>5</v>
      </c>
      <c r="C19" s="24"/>
      <c r="D19" s="24">
        <v>566901.52</v>
      </c>
      <c r="E19" s="24"/>
      <c r="F19" s="24">
        <f t="shared" si="3"/>
        <v>566901.52</v>
      </c>
      <c r="G19" s="24"/>
      <c r="H19" s="24"/>
      <c r="I19" s="24"/>
      <c r="J19" s="24"/>
      <c r="K19" s="40">
        <f t="shared" si="4"/>
        <v>566901.52</v>
      </c>
      <c r="L19" s="24"/>
      <c r="M19" s="3"/>
      <c r="N19" s="25">
        <v>-48</v>
      </c>
      <c r="O19" s="13" t="s">
        <v>107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4" customFormat="1" x14ac:dyDescent="0.3">
      <c r="A20" s="7" t="s">
        <v>37</v>
      </c>
      <c r="B20" s="10" t="s">
        <v>28</v>
      </c>
      <c r="C20" s="24"/>
      <c r="D20" s="24">
        <v>306806.90000000002</v>
      </c>
      <c r="E20" s="24"/>
      <c r="F20" s="24">
        <f t="shared" si="3"/>
        <v>306806.90000000002</v>
      </c>
      <c r="G20" s="24"/>
      <c r="H20" s="24"/>
      <c r="I20" s="24"/>
      <c r="J20" s="24"/>
      <c r="K20" s="40">
        <f t="shared" si="4"/>
        <v>306806.90000000002</v>
      </c>
      <c r="L20" s="19" t="s">
        <v>18</v>
      </c>
      <c r="M20" s="3"/>
      <c r="N20" s="25">
        <v>-25082</v>
      </c>
      <c r="O20" s="13" t="s">
        <v>76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4" customFormat="1" x14ac:dyDescent="0.3">
      <c r="A21" s="7">
        <v>330</v>
      </c>
      <c r="B21" s="10" t="s">
        <v>47</v>
      </c>
      <c r="C21" s="33"/>
      <c r="D21" s="33"/>
      <c r="E21" s="33"/>
      <c r="F21" s="24">
        <f t="shared" si="3"/>
        <v>0</v>
      </c>
      <c r="G21" s="25"/>
      <c r="H21" s="33"/>
      <c r="I21" s="33"/>
      <c r="J21" s="33"/>
      <c r="K21" s="40">
        <f t="shared" si="4"/>
        <v>0</v>
      </c>
      <c r="L21" s="24"/>
      <c r="M21" s="3"/>
      <c r="N21" s="25">
        <v>116760525</v>
      </c>
      <c r="O21" s="13" t="s">
        <v>77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4" customFormat="1" x14ac:dyDescent="0.3">
      <c r="A22" s="7">
        <v>9615</v>
      </c>
      <c r="B22" s="10" t="s">
        <v>45</v>
      </c>
      <c r="C22" s="33"/>
      <c r="D22" s="33"/>
      <c r="E22" s="33"/>
      <c r="F22" s="24">
        <f t="shared" si="3"/>
        <v>0</v>
      </c>
      <c r="G22" s="33">
        <v>-566901.52</v>
      </c>
      <c r="H22" s="33"/>
      <c r="I22" s="33"/>
      <c r="J22" s="33"/>
      <c r="K22" s="40">
        <f t="shared" si="4"/>
        <v>-566901.52</v>
      </c>
      <c r="L22" s="24"/>
      <c r="M22" s="3" t="s">
        <v>20</v>
      </c>
      <c r="N22" s="25">
        <v>76273906</v>
      </c>
      <c r="O22" s="13" t="s">
        <v>82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4" customFormat="1" x14ac:dyDescent="0.3">
      <c r="A23" s="7">
        <v>9619</v>
      </c>
      <c r="B23" s="10" t="s">
        <v>46</v>
      </c>
      <c r="C23" s="33"/>
      <c r="D23" s="33"/>
      <c r="E23" s="33"/>
      <c r="F23" s="24">
        <f t="shared" si="3"/>
        <v>0</v>
      </c>
      <c r="G23" s="33">
        <v>-306806.90000000002</v>
      </c>
      <c r="H23" s="33"/>
      <c r="I23" s="33"/>
      <c r="J23" s="33"/>
      <c r="K23" s="40">
        <f t="shared" si="4"/>
        <v>-306806.90000000002</v>
      </c>
      <c r="L23" s="24"/>
      <c r="M23" s="3"/>
      <c r="N23" s="23">
        <f>SUM(N18:N22)</f>
        <v>193009301</v>
      </c>
      <c r="O23" s="4" t="s">
        <v>110</v>
      </c>
      <c r="P23" s="4">
        <f>SUM(N18:N22)</f>
        <v>193009301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4" customFormat="1" x14ac:dyDescent="0.3">
      <c r="A24" s="7"/>
      <c r="B24" s="10"/>
      <c r="C24" s="28">
        <f t="shared" ref="C24:K24" si="5">SUM(C16:C23)</f>
        <v>0</v>
      </c>
      <c r="D24" s="28">
        <f t="shared" si="5"/>
        <v>873708.42</v>
      </c>
      <c r="E24" s="28">
        <f t="shared" si="5"/>
        <v>0</v>
      </c>
      <c r="F24" s="28">
        <f t="shared" si="5"/>
        <v>873708.42</v>
      </c>
      <c r="G24" s="28">
        <f t="shared" si="5"/>
        <v>4155926.2600000002</v>
      </c>
      <c r="H24" s="28">
        <f t="shared" si="5"/>
        <v>0</v>
      </c>
      <c r="I24" s="28">
        <f t="shared" si="5"/>
        <v>0</v>
      </c>
      <c r="J24" s="28">
        <f t="shared" si="5"/>
        <v>0</v>
      </c>
      <c r="K24" s="28">
        <f t="shared" si="5"/>
        <v>5029634.68</v>
      </c>
      <c r="L24" s="28">
        <v>5029634.68</v>
      </c>
      <c r="M24" s="64">
        <f>K24-L24</f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4" customFormat="1" x14ac:dyDescent="0.3">
      <c r="A25" s="6" t="s">
        <v>21</v>
      </c>
      <c r="B25" s="10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"/>
      <c r="N25" s="37">
        <v>0</v>
      </c>
      <c r="O25" s="50" t="s">
        <v>188</v>
      </c>
      <c r="P25" s="5" t="s">
        <v>131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4" customFormat="1" x14ac:dyDescent="0.3">
      <c r="A26" s="7">
        <v>253</v>
      </c>
      <c r="B26" s="10" t="s">
        <v>25</v>
      </c>
      <c r="C26" s="24"/>
      <c r="D26" s="24"/>
      <c r="E26" s="24"/>
      <c r="F26" s="24">
        <f t="shared" ref="F26:F31" si="6">SUM(C26:E26)</f>
        <v>0</v>
      </c>
      <c r="G26" s="24">
        <v>70373.36</v>
      </c>
      <c r="H26" s="24"/>
      <c r="I26" s="24"/>
      <c r="J26" s="24"/>
      <c r="K26" s="33">
        <f>SUM(F26:J26)</f>
        <v>70373.36</v>
      </c>
      <c r="L26" s="24"/>
      <c r="M26" s="3"/>
      <c r="N26" s="18">
        <v>54670781.68</v>
      </c>
      <c r="O26" s="13" t="s">
        <v>99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4" customFormat="1" x14ac:dyDescent="0.3">
      <c r="A27" s="7">
        <v>261</v>
      </c>
      <c r="B27" s="10" t="s">
        <v>71</v>
      </c>
      <c r="C27" s="24"/>
      <c r="E27" s="24"/>
      <c r="F27" s="24">
        <f t="shared" si="6"/>
        <v>0</v>
      </c>
      <c r="G27" s="24"/>
      <c r="H27" s="24"/>
      <c r="I27" s="24"/>
      <c r="J27" s="24"/>
      <c r="K27" s="33">
        <f t="shared" ref="K27:K31" si="7">SUM(F27:J27)</f>
        <v>0</v>
      </c>
      <c r="L27" s="24"/>
      <c r="M27" s="3"/>
      <c r="N27" s="18">
        <v>27598673</v>
      </c>
      <c r="O27" s="13" t="s">
        <v>118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4" customFormat="1" x14ac:dyDescent="0.3">
      <c r="A28" s="7">
        <v>322</v>
      </c>
      <c r="B28" s="10" t="s">
        <v>6</v>
      </c>
      <c r="C28" s="24"/>
      <c r="D28" s="24">
        <v>16005.31</v>
      </c>
      <c r="E28" s="24"/>
      <c r="F28" s="24">
        <f t="shared" si="6"/>
        <v>16005.31</v>
      </c>
      <c r="G28" s="24"/>
      <c r="H28" s="24"/>
      <c r="I28" s="24"/>
      <c r="J28" s="24"/>
      <c r="K28" s="33">
        <f t="shared" si="7"/>
        <v>16005.31</v>
      </c>
      <c r="L28" s="24"/>
      <c r="M28" s="3"/>
      <c r="N28" s="18">
        <v>61831625.609999999</v>
      </c>
      <c r="O28" s="13" t="s">
        <v>119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4" customFormat="1" x14ac:dyDescent="0.3">
      <c r="A29" s="7">
        <v>328</v>
      </c>
      <c r="B29" s="10" t="s">
        <v>7</v>
      </c>
      <c r="C29" s="33"/>
      <c r="D29" s="33"/>
      <c r="E29" s="33"/>
      <c r="F29" s="24">
        <f t="shared" si="6"/>
        <v>0</v>
      </c>
      <c r="G29" s="33"/>
      <c r="H29" s="33"/>
      <c r="I29" s="33"/>
      <c r="J29" s="33"/>
      <c r="K29" s="33">
        <f t="shared" si="7"/>
        <v>0</v>
      </c>
      <c r="L29" s="24"/>
      <c r="M29" s="3"/>
      <c r="N29" s="31">
        <f>SUM(N25:N28)</f>
        <v>144101080.29000002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4" customFormat="1" x14ac:dyDescent="0.3">
      <c r="A30" s="7">
        <v>9620</v>
      </c>
      <c r="B30" s="10" t="s">
        <v>48</v>
      </c>
      <c r="C30" s="33"/>
      <c r="D30" s="33"/>
      <c r="E30" s="33"/>
      <c r="F30" s="24">
        <f t="shared" si="6"/>
        <v>0</v>
      </c>
      <c r="G30" s="33">
        <v>-16005.31</v>
      </c>
      <c r="H30" s="33"/>
      <c r="I30" s="33"/>
      <c r="J30" s="33"/>
      <c r="K30" s="33">
        <f t="shared" si="7"/>
        <v>-16005.31</v>
      </c>
      <c r="L30" s="24"/>
      <c r="M30" s="3"/>
      <c r="N30" s="21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4" customFormat="1" ht="14.25" thickBot="1" x14ac:dyDescent="0.35">
      <c r="A31" s="7">
        <v>9623</v>
      </c>
      <c r="B31" s="10" t="s">
        <v>72</v>
      </c>
      <c r="C31" s="33"/>
      <c r="D31" s="33"/>
      <c r="E31" s="33"/>
      <c r="F31" s="24">
        <f t="shared" si="6"/>
        <v>0</v>
      </c>
      <c r="G31" s="33"/>
      <c r="H31" s="33"/>
      <c r="I31" s="33"/>
      <c r="J31" s="33"/>
      <c r="K31" s="33">
        <f t="shared" si="7"/>
        <v>0</v>
      </c>
      <c r="L31" s="24"/>
      <c r="M31" s="3"/>
      <c r="N31" s="41">
        <f>N17+N23+N29</f>
        <v>465652092.58999997</v>
      </c>
      <c r="O31" s="42" t="s">
        <v>136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4" customFormat="1" ht="14.25" thickTop="1" x14ac:dyDescent="0.3">
      <c r="A32" s="7"/>
      <c r="B32" s="10"/>
      <c r="C32" s="28">
        <f t="shared" ref="C32:K32" si="8">SUM(C26:C31)</f>
        <v>0</v>
      </c>
      <c r="D32" s="28">
        <f t="shared" si="8"/>
        <v>16005.31</v>
      </c>
      <c r="E32" s="28">
        <f t="shared" si="8"/>
        <v>0</v>
      </c>
      <c r="F32" s="28">
        <f t="shared" si="8"/>
        <v>16005.31</v>
      </c>
      <c r="G32" s="28">
        <f t="shared" si="8"/>
        <v>54368.05</v>
      </c>
      <c r="H32" s="28">
        <f t="shared" si="8"/>
        <v>0</v>
      </c>
      <c r="I32" s="28">
        <f t="shared" si="8"/>
        <v>0</v>
      </c>
      <c r="J32" s="28">
        <f t="shared" si="8"/>
        <v>0</v>
      </c>
      <c r="K32" s="28">
        <f t="shared" si="8"/>
        <v>70373.36</v>
      </c>
      <c r="L32" s="28">
        <v>70373.36</v>
      </c>
      <c r="M32" s="64">
        <f>K32-L32</f>
        <v>0</v>
      </c>
      <c r="N32" s="21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4" customFormat="1" x14ac:dyDescent="0.3">
      <c r="A33" s="6" t="s">
        <v>22</v>
      </c>
      <c r="B33" s="10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3"/>
      <c r="N33" s="21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5" customFormat="1" x14ac:dyDescent="0.3">
      <c r="A34" s="7">
        <v>257</v>
      </c>
      <c r="B34" s="10" t="s">
        <v>39</v>
      </c>
      <c r="C34" s="24">
        <v>1610055.01</v>
      </c>
      <c r="D34" s="25"/>
      <c r="E34" s="24"/>
      <c r="F34" s="24">
        <f t="shared" ref="F34:F42" si="9">SUM(C34:E34)</f>
        <v>1610055.01</v>
      </c>
      <c r="G34" s="24">
        <v>8509303.4499999993</v>
      </c>
      <c r="H34" s="24"/>
      <c r="I34" s="24"/>
      <c r="J34" s="24"/>
      <c r="K34" s="33">
        <f>SUM(F34:J34)</f>
        <v>10119358.459999999</v>
      </c>
      <c r="L34" s="24"/>
      <c r="N34" s="21"/>
      <c r="O34" s="4"/>
      <c r="P34" s="4"/>
    </row>
    <row r="35" spans="1:38" s="5" customFormat="1" x14ac:dyDescent="0.3">
      <c r="A35" s="7">
        <v>259</v>
      </c>
      <c r="B35" s="10" t="s">
        <v>51</v>
      </c>
      <c r="C35" s="24"/>
      <c r="D35" s="24"/>
      <c r="E35" s="24"/>
      <c r="F35" s="24">
        <f t="shared" si="9"/>
        <v>0</v>
      </c>
      <c r="G35" s="24"/>
      <c r="H35" s="24"/>
      <c r="I35" s="24"/>
      <c r="J35" s="24"/>
      <c r="K35" s="33">
        <f t="shared" ref="K35:K42" si="10">SUM(F35:J35)</f>
        <v>0</v>
      </c>
      <c r="L35" s="24"/>
      <c r="N35" s="21"/>
      <c r="O35" s="4"/>
      <c r="P35" s="4"/>
    </row>
    <row r="36" spans="1:38" s="5" customFormat="1" x14ac:dyDescent="0.3">
      <c r="A36" s="7">
        <v>264</v>
      </c>
      <c r="B36" s="10" t="s">
        <v>49</v>
      </c>
      <c r="C36" s="24"/>
      <c r="D36" s="24">
        <v>162000</v>
      </c>
      <c r="E36" s="24"/>
      <c r="F36" s="24">
        <f t="shared" si="9"/>
        <v>162000</v>
      </c>
      <c r="G36" s="24">
        <v>5307.64</v>
      </c>
      <c r="H36" s="24"/>
      <c r="I36" s="24"/>
      <c r="J36" s="24"/>
      <c r="K36" s="33">
        <f t="shared" si="10"/>
        <v>167307.64000000001</v>
      </c>
      <c r="L36" s="24"/>
      <c r="N36" s="25"/>
      <c r="O36" s="4"/>
      <c r="P36" s="4"/>
    </row>
    <row r="37" spans="1:38" x14ac:dyDescent="0.3">
      <c r="A37" s="9" t="s">
        <v>91</v>
      </c>
      <c r="B37" s="10" t="s">
        <v>93</v>
      </c>
      <c r="C37" s="24">
        <v>29889028.75</v>
      </c>
      <c r="D37" s="24"/>
      <c r="E37" s="24"/>
      <c r="F37" s="24">
        <f t="shared" si="9"/>
        <v>29889028.75</v>
      </c>
      <c r="G37" s="24"/>
      <c r="H37" s="24"/>
      <c r="I37" s="24"/>
      <c r="J37" s="24"/>
      <c r="K37" s="33">
        <f t="shared" si="10"/>
        <v>29889028.75</v>
      </c>
    </row>
    <row r="38" spans="1:38" s="5" customFormat="1" x14ac:dyDescent="0.3">
      <c r="A38" s="9" t="s">
        <v>92</v>
      </c>
      <c r="B38" s="10" t="s">
        <v>94</v>
      </c>
      <c r="C38" s="24"/>
      <c r="D38" s="24"/>
      <c r="E38" s="24"/>
      <c r="F38" s="24">
        <f t="shared" si="9"/>
        <v>0</v>
      </c>
      <c r="G38" s="24"/>
      <c r="H38" s="24"/>
      <c r="I38" s="24"/>
      <c r="J38" s="24"/>
      <c r="K38" s="33">
        <f t="shared" si="10"/>
        <v>0</v>
      </c>
      <c r="L38" s="24"/>
      <c r="M38" s="3"/>
      <c r="N38" s="25"/>
    </row>
    <row r="39" spans="1:38" s="5" customFormat="1" x14ac:dyDescent="0.3">
      <c r="A39" s="7">
        <v>326</v>
      </c>
      <c r="B39" s="10" t="s">
        <v>53</v>
      </c>
      <c r="C39" s="24"/>
      <c r="D39" s="24">
        <v>194946.03</v>
      </c>
      <c r="E39" s="24"/>
      <c r="F39" s="24">
        <f t="shared" si="9"/>
        <v>194946.03</v>
      </c>
      <c r="G39" s="24"/>
      <c r="H39" s="24"/>
      <c r="I39" s="24"/>
      <c r="J39" s="24"/>
      <c r="K39" s="33">
        <f t="shared" si="10"/>
        <v>194946.03</v>
      </c>
      <c r="L39" s="24"/>
      <c r="M39" s="3"/>
      <c r="N39" s="25"/>
    </row>
    <row r="40" spans="1:38" s="5" customFormat="1" x14ac:dyDescent="0.3">
      <c r="A40" s="7">
        <v>331</v>
      </c>
      <c r="B40" s="10" t="s">
        <v>50</v>
      </c>
      <c r="C40" s="33"/>
      <c r="D40" s="33">
        <v>1418.73</v>
      </c>
      <c r="E40" s="33"/>
      <c r="F40" s="24">
        <f t="shared" si="9"/>
        <v>1418.73</v>
      </c>
      <c r="G40" s="24"/>
      <c r="H40" s="33"/>
      <c r="I40" s="33"/>
      <c r="J40" s="33"/>
      <c r="K40" s="33">
        <f t="shared" si="10"/>
        <v>1418.73</v>
      </c>
      <c r="L40" s="24"/>
      <c r="M40" s="3"/>
      <c r="N40" s="25"/>
    </row>
    <row r="41" spans="1:38" s="5" customFormat="1" x14ac:dyDescent="0.3">
      <c r="A41" s="7">
        <v>9622</v>
      </c>
      <c r="B41" s="10" t="s">
        <v>52</v>
      </c>
      <c r="C41" s="33"/>
      <c r="D41" s="33"/>
      <c r="E41" s="33"/>
      <c r="F41" s="24">
        <f t="shared" si="9"/>
        <v>0</v>
      </c>
      <c r="G41" s="24">
        <v>-194946.03</v>
      </c>
      <c r="H41" s="33"/>
      <c r="I41" s="33"/>
      <c r="J41" s="33"/>
      <c r="K41" s="33">
        <f t="shared" si="10"/>
        <v>-194946.03</v>
      </c>
      <c r="L41" s="24"/>
      <c r="M41" s="3"/>
      <c r="N41" s="25" t="s">
        <v>20</v>
      </c>
    </row>
    <row r="42" spans="1:38" s="5" customFormat="1" x14ac:dyDescent="0.3">
      <c r="A42" s="7">
        <v>9624</v>
      </c>
      <c r="B42" s="10" t="s">
        <v>65</v>
      </c>
      <c r="C42" s="33"/>
      <c r="D42" s="33"/>
      <c r="E42" s="33"/>
      <c r="F42" s="24">
        <f t="shared" si="9"/>
        <v>0</v>
      </c>
      <c r="G42" s="33">
        <v>-1418.73</v>
      </c>
      <c r="H42" s="33"/>
      <c r="I42" s="33"/>
      <c r="J42" s="33"/>
      <c r="K42" s="33">
        <f t="shared" si="10"/>
        <v>-1418.73</v>
      </c>
      <c r="L42" s="24"/>
      <c r="M42" s="3"/>
      <c r="N42" s="25"/>
      <c r="O42" s="4"/>
    </row>
    <row r="43" spans="1:38" s="5" customFormat="1" x14ac:dyDescent="0.3">
      <c r="A43" s="7"/>
      <c r="B43" s="10"/>
      <c r="C43" s="28">
        <f t="shared" ref="C43:K43" si="11">SUM(C34:C42)</f>
        <v>31499083.760000002</v>
      </c>
      <c r="D43" s="28">
        <f t="shared" si="11"/>
        <v>358364.76</v>
      </c>
      <c r="E43" s="28">
        <f t="shared" si="11"/>
        <v>0</v>
      </c>
      <c r="F43" s="28">
        <f t="shared" si="11"/>
        <v>31857448.520000003</v>
      </c>
      <c r="G43" s="28">
        <f t="shared" si="11"/>
        <v>8318246.3299999991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8">
        <f t="shared" si="11"/>
        <v>40175694.850000001</v>
      </c>
      <c r="L43" s="28">
        <v>40175694.850000001</v>
      </c>
      <c r="M43" s="64">
        <f>K43-L43</f>
        <v>0</v>
      </c>
      <c r="N43" s="25"/>
      <c r="O43" s="4"/>
    </row>
    <row r="44" spans="1:38" s="5" customFormat="1" x14ac:dyDescent="0.3">
      <c r="A44" s="6" t="s">
        <v>23</v>
      </c>
      <c r="B44" s="10"/>
      <c r="C44" s="25"/>
      <c r="D44" s="25"/>
      <c r="E44" s="25"/>
      <c r="F44" s="25"/>
      <c r="G44" s="25" t="s">
        <v>20</v>
      </c>
      <c r="H44" s="24"/>
      <c r="I44" s="24"/>
      <c r="J44" s="24"/>
      <c r="K44" s="25"/>
      <c r="L44" s="24"/>
      <c r="M44" s="3"/>
      <c r="N44" s="18"/>
      <c r="O44" s="4"/>
    </row>
    <row r="45" spans="1:38" s="5" customFormat="1" x14ac:dyDescent="0.3">
      <c r="A45" s="7" t="s">
        <v>129</v>
      </c>
      <c r="B45" s="10" t="s">
        <v>9</v>
      </c>
      <c r="C45" s="25"/>
      <c r="D45" s="35"/>
      <c r="E45" s="25"/>
      <c r="F45" s="24">
        <f>SUM(C45:E45)</f>
        <v>0</v>
      </c>
      <c r="G45" s="25"/>
      <c r="H45" s="24">
        <f>293767.13+272506</f>
        <v>566273.13</v>
      </c>
      <c r="I45" s="24"/>
      <c r="J45" s="24"/>
      <c r="K45" s="33">
        <f>SUM(F45:J45)</f>
        <v>566273.13</v>
      </c>
      <c r="L45" s="24"/>
      <c r="M45" s="3"/>
      <c r="N45" s="18"/>
      <c r="O45" s="4"/>
    </row>
    <row r="46" spans="1:38" s="5" customFormat="1" x14ac:dyDescent="0.3">
      <c r="A46" s="7">
        <v>254</v>
      </c>
      <c r="B46" s="10" t="s">
        <v>29</v>
      </c>
      <c r="C46" s="24"/>
      <c r="D46" s="24"/>
      <c r="E46" s="24">
        <v>168316</v>
      </c>
      <c r="F46" s="24">
        <f t="shared" ref="F46:F66" si="12">SUM(C46:E46)</f>
        <v>168316</v>
      </c>
      <c r="G46" s="24">
        <v>6491022.4400000004</v>
      </c>
      <c r="H46" s="24"/>
      <c r="I46" s="24"/>
      <c r="K46" s="33">
        <f t="shared" ref="K46:K55" si="13">SUM(F46:J46)</f>
        <v>6659338.4400000004</v>
      </c>
      <c r="L46" s="24"/>
      <c r="M46" s="3"/>
      <c r="N46" s="18" t="s">
        <v>20</v>
      </c>
      <c r="O46" s="4"/>
    </row>
    <row r="47" spans="1:38" s="5" customFormat="1" x14ac:dyDescent="0.3">
      <c r="A47" s="7">
        <v>255</v>
      </c>
      <c r="B47" s="10" t="s">
        <v>30</v>
      </c>
      <c r="C47" s="24"/>
      <c r="D47" s="24">
        <v>301705.18</v>
      </c>
      <c r="E47" s="24"/>
      <c r="F47" s="24">
        <f t="shared" si="12"/>
        <v>301705.18</v>
      </c>
      <c r="G47" s="27">
        <v>14855635.789999999</v>
      </c>
      <c r="H47" s="24"/>
      <c r="I47" s="24"/>
      <c r="K47" s="33">
        <f t="shared" si="13"/>
        <v>15157340.969999999</v>
      </c>
      <c r="L47" s="24"/>
      <c r="M47" s="3"/>
      <c r="N47" s="62" t="s">
        <v>125</v>
      </c>
      <c r="O47" s="62" t="s">
        <v>113</v>
      </c>
    </row>
    <row r="48" spans="1:38" s="5" customFormat="1" x14ac:dyDescent="0.3">
      <c r="A48" s="7">
        <v>256</v>
      </c>
      <c r="B48" s="10" t="s">
        <v>31</v>
      </c>
      <c r="C48" s="24"/>
      <c r="D48" s="24">
        <v>25000</v>
      </c>
      <c r="E48" s="24"/>
      <c r="F48" s="24">
        <f t="shared" si="12"/>
        <v>25000</v>
      </c>
      <c r="G48" s="24">
        <v>81931891.989999995</v>
      </c>
      <c r="H48" s="24"/>
      <c r="I48" s="24"/>
      <c r="J48" s="24"/>
      <c r="K48" s="33">
        <f t="shared" si="13"/>
        <v>81956891.989999995</v>
      </c>
      <c r="L48" s="24"/>
      <c r="M48" s="3"/>
      <c r="N48" s="18">
        <f>K48</f>
        <v>81956891.989999995</v>
      </c>
      <c r="O48" s="18">
        <v>83631945.230000004</v>
      </c>
      <c r="P48" s="5">
        <f>N48-O48</f>
        <v>-1675053.2400000095</v>
      </c>
      <c r="Q48" s="59">
        <f>P48/O48</f>
        <v>-2.0028868578787325E-2</v>
      </c>
      <c r="R48" s="5" t="s">
        <v>130</v>
      </c>
    </row>
    <row r="49" spans="1:20" s="5" customFormat="1" x14ac:dyDescent="0.3">
      <c r="A49" s="7">
        <v>258</v>
      </c>
      <c r="B49" s="10" t="s">
        <v>36</v>
      </c>
      <c r="C49" s="24"/>
      <c r="D49" s="24">
        <v>716990.45</v>
      </c>
      <c r="E49" s="24"/>
      <c r="F49" s="24">
        <f t="shared" si="12"/>
        <v>716990.45</v>
      </c>
      <c r="G49" s="27">
        <v>5328.98</v>
      </c>
      <c r="H49" s="24"/>
      <c r="I49" s="24"/>
      <c r="J49" s="24"/>
      <c r="K49" s="33">
        <f t="shared" si="13"/>
        <v>722319.42999999993</v>
      </c>
      <c r="L49" s="24"/>
      <c r="M49" s="3"/>
      <c r="N49" s="18"/>
      <c r="O49" s="4"/>
      <c r="S49" s="7"/>
      <c r="T49" s="10"/>
    </row>
    <row r="50" spans="1:20" s="5" customFormat="1" x14ac:dyDescent="0.3">
      <c r="A50" s="7">
        <v>265</v>
      </c>
      <c r="B50" s="10" t="s">
        <v>33</v>
      </c>
      <c r="C50" s="24"/>
      <c r="D50" s="25">
        <v>40000</v>
      </c>
      <c r="E50" s="24"/>
      <c r="F50" s="24">
        <f t="shared" si="12"/>
        <v>40000</v>
      </c>
      <c r="G50" s="24">
        <v>257441.46</v>
      </c>
      <c r="H50" s="24"/>
      <c r="I50" s="24"/>
      <c r="J50" s="24"/>
      <c r="K50" s="33">
        <f t="shared" si="13"/>
        <v>297441.45999999996</v>
      </c>
      <c r="L50" s="24"/>
      <c r="M50" s="3"/>
      <c r="S50" s="7"/>
      <c r="T50" s="10"/>
    </row>
    <row r="51" spans="1:20" s="5" customFormat="1" x14ac:dyDescent="0.3">
      <c r="A51" s="7">
        <v>267</v>
      </c>
      <c r="B51" s="10" t="s">
        <v>64</v>
      </c>
      <c r="C51" s="24"/>
      <c r="D51" s="24"/>
      <c r="E51" s="24"/>
      <c r="F51" s="24">
        <f>SUM(C51:E51)</f>
        <v>0</v>
      </c>
      <c r="G51" s="24">
        <v>64438.85</v>
      </c>
      <c r="H51" s="24"/>
      <c r="I51" s="24"/>
      <c r="J51" s="24"/>
      <c r="K51" s="33">
        <f>SUM(F51:J51)</f>
        <v>64438.85</v>
      </c>
      <c r="L51" s="24"/>
      <c r="M51" s="3"/>
      <c r="S51" s="7"/>
      <c r="T51" s="10"/>
    </row>
    <row r="52" spans="1:20" s="5" customFormat="1" x14ac:dyDescent="0.3">
      <c r="A52" s="7">
        <v>271</v>
      </c>
      <c r="B52" s="10" t="s">
        <v>34</v>
      </c>
      <c r="C52" s="24"/>
      <c r="D52" s="24"/>
      <c r="E52" s="24"/>
      <c r="F52" s="24">
        <f t="shared" si="12"/>
        <v>0</v>
      </c>
      <c r="G52" s="27">
        <v>209896.98</v>
      </c>
      <c r="H52" s="24"/>
      <c r="I52" s="24"/>
      <c r="J52" s="24"/>
      <c r="K52" s="33">
        <f t="shared" si="13"/>
        <v>209896.98</v>
      </c>
      <c r="L52" s="24"/>
      <c r="M52" s="3"/>
      <c r="S52" s="7"/>
      <c r="T52" s="10"/>
    </row>
    <row r="53" spans="1:20" s="5" customFormat="1" x14ac:dyDescent="0.3">
      <c r="A53" s="9" t="s">
        <v>95</v>
      </c>
      <c r="B53" s="10" t="s">
        <v>96</v>
      </c>
      <c r="C53" s="24"/>
      <c r="D53" s="24"/>
      <c r="E53" s="24"/>
      <c r="F53" s="24">
        <f t="shared" si="12"/>
        <v>0</v>
      </c>
      <c r="G53" s="27"/>
      <c r="H53" s="24"/>
      <c r="I53" s="24"/>
      <c r="J53" s="24"/>
      <c r="K53" s="33">
        <f t="shared" si="13"/>
        <v>0</v>
      </c>
      <c r="L53" s="24"/>
      <c r="M53" s="3"/>
      <c r="N53" s="25"/>
    </row>
    <row r="54" spans="1:20" s="5" customFormat="1" x14ac:dyDescent="0.3">
      <c r="A54" s="7" t="s">
        <v>67</v>
      </c>
      <c r="B54" s="10" t="s">
        <v>68</v>
      </c>
      <c r="C54" s="24"/>
      <c r="D54" s="24"/>
      <c r="E54" s="24"/>
      <c r="F54" s="24">
        <f t="shared" si="12"/>
        <v>0</v>
      </c>
      <c r="G54" s="27"/>
      <c r="H54" s="24"/>
      <c r="I54" s="24"/>
      <c r="J54" s="24"/>
      <c r="K54" s="33">
        <f t="shared" si="13"/>
        <v>0</v>
      </c>
      <c r="L54" s="24"/>
      <c r="M54" s="3"/>
      <c r="S54" s="7"/>
      <c r="T54" s="10"/>
    </row>
    <row r="55" spans="1:20" s="5" customFormat="1" x14ac:dyDescent="0.3">
      <c r="A55" s="7">
        <v>298</v>
      </c>
      <c r="B55" s="10" t="s">
        <v>100</v>
      </c>
      <c r="C55" s="24"/>
      <c r="D55" s="24"/>
      <c r="E55" s="24"/>
      <c r="F55" s="24">
        <f t="shared" si="12"/>
        <v>0</v>
      </c>
      <c r="G55" s="27">
        <v>65050</v>
      </c>
      <c r="H55" s="24"/>
      <c r="I55" s="24"/>
      <c r="J55" s="24"/>
      <c r="K55" s="33">
        <f t="shared" si="13"/>
        <v>65050</v>
      </c>
      <c r="L55" s="24"/>
      <c r="M55" s="3"/>
      <c r="N55" s="18"/>
      <c r="O55" s="4"/>
      <c r="S55" s="7"/>
      <c r="T55" s="10"/>
    </row>
    <row r="56" spans="1:20" s="5" customFormat="1" x14ac:dyDescent="0.3">
      <c r="A56" s="52">
        <v>323</v>
      </c>
      <c r="B56" s="53" t="s">
        <v>8</v>
      </c>
      <c r="C56" s="38"/>
      <c r="D56" s="38">
        <v>711374.66</v>
      </c>
      <c r="E56" s="38"/>
      <c r="F56" s="38">
        <f t="shared" si="12"/>
        <v>711374.66</v>
      </c>
      <c r="G56" s="54"/>
      <c r="H56" s="38"/>
      <c r="I56" s="38"/>
      <c r="J56" s="38"/>
      <c r="K56" s="40">
        <f>SUM(F56:J56)</f>
        <v>711374.66</v>
      </c>
      <c r="L56" s="24"/>
      <c r="M56" s="3"/>
      <c r="N56" s="18"/>
      <c r="O56" s="4"/>
      <c r="S56" s="7"/>
      <c r="T56" s="10"/>
    </row>
    <row r="57" spans="1:20" s="5" customFormat="1" x14ac:dyDescent="0.3">
      <c r="A57" s="52">
        <v>324</v>
      </c>
      <c r="B57" s="53" t="s">
        <v>35</v>
      </c>
      <c r="C57" s="38"/>
      <c r="D57" s="38">
        <v>899759.45</v>
      </c>
      <c r="E57" s="54"/>
      <c r="F57" s="38">
        <f t="shared" si="12"/>
        <v>899759.45</v>
      </c>
      <c r="G57" s="54"/>
      <c r="H57" s="38"/>
      <c r="I57" s="38"/>
      <c r="J57" s="38"/>
      <c r="K57" s="40">
        <f t="shared" ref="K57:K66" si="14">SUM(F57:J57)</f>
        <v>899759.45</v>
      </c>
      <c r="L57" s="24"/>
      <c r="M57" s="3"/>
      <c r="N57" s="18"/>
      <c r="O57" s="4"/>
      <c r="S57" s="7"/>
      <c r="T57" s="10"/>
    </row>
    <row r="58" spans="1:20" s="5" customFormat="1" x14ac:dyDescent="0.3">
      <c r="A58" s="52">
        <v>325</v>
      </c>
      <c r="B58" s="53" t="s">
        <v>32</v>
      </c>
      <c r="C58" s="38"/>
      <c r="D58" s="38">
        <v>1023096.38</v>
      </c>
      <c r="E58" s="54"/>
      <c r="F58" s="38">
        <f t="shared" si="12"/>
        <v>1023096.38</v>
      </c>
      <c r="G58" s="54"/>
      <c r="H58" s="38"/>
      <c r="I58" s="38"/>
      <c r="J58" s="38"/>
      <c r="K58" s="40">
        <f t="shared" si="14"/>
        <v>1023096.38</v>
      </c>
      <c r="L58" s="24"/>
      <c r="M58" s="3"/>
      <c r="N58" s="18"/>
      <c r="O58" s="4"/>
      <c r="S58" s="7"/>
      <c r="T58" s="10"/>
    </row>
    <row r="59" spans="1:20" s="5" customFormat="1" x14ac:dyDescent="0.3">
      <c r="A59" s="55" t="s">
        <v>83</v>
      </c>
      <c r="B59" s="53" t="s">
        <v>84</v>
      </c>
      <c r="C59" s="38"/>
      <c r="D59" s="38">
        <v>62870.34</v>
      </c>
      <c r="E59" s="54"/>
      <c r="F59" s="38">
        <f t="shared" si="12"/>
        <v>62870.34</v>
      </c>
      <c r="G59" s="54"/>
      <c r="H59" s="38"/>
      <c r="I59" s="38"/>
      <c r="J59" s="38"/>
      <c r="K59" s="40">
        <f t="shared" si="14"/>
        <v>62870.34</v>
      </c>
      <c r="L59" s="24"/>
      <c r="M59" s="3"/>
      <c r="N59" s="18"/>
      <c r="O59" s="4"/>
      <c r="S59" s="7"/>
      <c r="T59" s="10"/>
    </row>
    <row r="60" spans="1:20" s="5" customFormat="1" x14ac:dyDescent="0.3">
      <c r="A60" s="52">
        <v>334</v>
      </c>
      <c r="B60" s="53" t="s">
        <v>61</v>
      </c>
      <c r="C60" s="40"/>
      <c r="D60" s="54">
        <v>6468.16</v>
      </c>
      <c r="E60" s="40"/>
      <c r="F60" s="38">
        <f t="shared" si="12"/>
        <v>6468.16</v>
      </c>
      <c r="G60" s="71"/>
      <c r="H60" s="40"/>
      <c r="I60" s="40"/>
      <c r="J60" s="40"/>
      <c r="K60" s="40">
        <f t="shared" si="14"/>
        <v>6468.16</v>
      </c>
      <c r="L60" s="24"/>
      <c r="M60" s="3"/>
      <c r="N60" s="18"/>
      <c r="O60" s="4"/>
      <c r="S60" s="7"/>
      <c r="T60" s="10"/>
    </row>
    <row r="61" spans="1:20" s="5" customFormat="1" x14ac:dyDescent="0.3">
      <c r="A61" s="52">
        <v>335</v>
      </c>
      <c r="B61" s="53" t="s">
        <v>58</v>
      </c>
      <c r="C61" s="38"/>
      <c r="D61" s="38"/>
      <c r="E61" s="38"/>
      <c r="F61" s="38">
        <f t="shared" si="12"/>
        <v>0</v>
      </c>
      <c r="G61" s="38"/>
      <c r="H61" s="38"/>
      <c r="I61" s="38"/>
      <c r="J61" s="38"/>
      <c r="K61" s="40">
        <f t="shared" si="14"/>
        <v>0</v>
      </c>
      <c r="L61" s="24"/>
      <c r="M61" s="3"/>
      <c r="N61" s="18"/>
      <c r="O61" s="4"/>
      <c r="S61" s="7"/>
      <c r="T61" s="10"/>
    </row>
    <row r="62" spans="1:20" s="5" customFormat="1" x14ac:dyDescent="0.3">
      <c r="A62" s="52">
        <v>9625</v>
      </c>
      <c r="B62" s="53" t="s">
        <v>54</v>
      </c>
      <c r="C62" s="38"/>
      <c r="D62" s="38"/>
      <c r="E62" s="38"/>
      <c r="F62" s="38">
        <f t="shared" si="12"/>
        <v>0</v>
      </c>
      <c r="G62" s="54">
        <v>-711374.66</v>
      </c>
      <c r="H62" s="38"/>
      <c r="I62" s="38"/>
      <c r="J62" s="38"/>
      <c r="K62" s="40">
        <f t="shared" si="14"/>
        <v>-711374.66</v>
      </c>
      <c r="L62" s="24"/>
      <c r="M62" s="3"/>
      <c r="N62" s="18"/>
      <c r="O62" s="4"/>
      <c r="S62" s="7"/>
      <c r="T62" s="10"/>
    </row>
    <row r="63" spans="1:20" s="5" customFormat="1" x14ac:dyDescent="0.3">
      <c r="A63" s="52">
        <v>9627</v>
      </c>
      <c r="B63" s="53" t="s">
        <v>60</v>
      </c>
      <c r="C63" s="38"/>
      <c r="D63" s="38"/>
      <c r="E63" s="38"/>
      <c r="F63" s="38">
        <f t="shared" si="12"/>
        <v>0</v>
      </c>
      <c r="G63" s="54">
        <v>-62870.34</v>
      </c>
      <c r="H63" s="38"/>
      <c r="I63" s="38"/>
      <c r="J63" s="38"/>
      <c r="K63" s="40">
        <f t="shared" si="14"/>
        <v>-62870.34</v>
      </c>
      <c r="L63" s="24"/>
      <c r="M63" s="3"/>
      <c r="N63" s="18"/>
      <c r="O63" s="4"/>
      <c r="S63" s="7"/>
      <c r="T63" s="10"/>
    </row>
    <row r="64" spans="1:20" s="5" customFormat="1" x14ac:dyDescent="0.3">
      <c r="A64" s="52">
        <v>9630</v>
      </c>
      <c r="B64" s="53" t="s">
        <v>55</v>
      </c>
      <c r="C64" s="38"/>
      <c r="D64" s="38"/>
      <c r="E64" s="38"/>
      <c r="F64" s="38">
        <f t="shared" si="12"/>
        <v>0</v>
      </c>
      <c r="G64" s="54">
        <v>-899759.45</v>
      </c>
      <c r="H64" s="38"/>
      <c r="I64" s="38"/>
      <c r="J64" s="38"/>
      <c r="K64" s="40">
        <f t="shared" si="14"/>
        <v>-899759.45</v>
      </c>
      <c r="L64" s="24"/>
      <c r="M64" s="3"/>
      <c r="N64" s="18"/>
      <c r="O64" s="4"/>
      <c r="S64" s="7"/>
      <c r="T64" s="10"/>
    </row>
    <row r="65" spans="1:38" s="5" customFormat="1" x14ac:dyDescent="0.3">
      <c r="A65" s="52">
        <v>9635</v>
      </c>
      <c r="B65" s="53" t="s">
        <v>56</v>
      </c>
      <c r="C65" s="38"/>
      <c r="D65" s="38"/>
      <c r="E65" s="38"/>
      <c r="F65" s="38">
        <f t="shared" si="12"/>
        <v>0</v>
      </c>
      <c r="G65" s="54">
        <v>-1023096.38</v>
      </c>
      <c r="H65" s="38"/>
      <c r="I65" s="38"/>
      <c r="J65" s="38"/>
      <c r="K65" s="40">
        <f t="shared" si="14"/>
        <v>-1023096.38</v>
      </c>
      <c r="L65" s="24"/>
      <c r="M65" s="3"/>
      <c r="N65" s="18"/>
      <c r="O65" s="4"/>
      <c r="S65" s="7"/>
      <c r="T65" s="10"/>
    </row>
    <row r="66" spans="1:38" s="5" customFormat="1" x14ac:dyDescent="0.3">
      <c r="A66" s="52">
        <v>9650</v>
      </c>
      <c r="B66" s="53" t="s">
        <v>57</v>
      </c>
      <c r="C66" s="38"/>
      <c r="D66" s="38"/>
      <c r="E66" s="38"/>
      <c r="F66" s="38">
        <f t="shared" si="12"/>
        <v>0</v>
      </c>
      <c r="G66" s="38">
        <v>-142556.26999999999</v>
      </c>
      <c r="H66" s="38"/>
      <c r="I66" s="38"/>
      <c r="J66" s="38"/>
      <c r="K66" s="40">
        <f t="shared" si="14"/>
        <v>-142556.26999999999</v>
      </c>
      <c r="L66" s="24"/>
      <c r="M66" s="3"/>
      <c r="N66" s="18"/>
      <c r="O66" s="4"/>
      <c r="S66" s="7"/>
      <c r="T66" s="10"/>
    </row>
    <row r="67" spans="1:38" s="5" customFormat="1" x14ac:dyDescent="0.3">
      <c r="A67" s="7"/>
      <c r="B67" s="10"/>
      <c r="C67" s="28">
        <f>SUM(C45:C66)</f>
        <v>0</v>
      </c>
      <c r="D67" s="28">
        <f t="shared" ref="D67:K67" si="15">SUM(D45:D66)</f>
        <v>3787264.62</v>
      </c>
      <c r="E67" s="28">
        <f t="shared" si="15"/>
        <v>168316</v>
      </c>
      <c r="F67" s="28">
        <f t="shared" si="15"/>
        <v>3955580.62</v>
      </c>
      <c r="G67" s="28">
        <f>SUM(G45:G66)</f>
        <v>101041049.39</v>
      </c>
      <c r="H67" s="28">
        <f t="shared" si="15"/>
        <v>566273.13</v>
      </c>
      <c r="I67" s="28">
        <f t="shared" si="15"/>
        <v>0</v>
      </c>
      <c r="J67" s="28">
        <f>SUM(J47:J66)</f>
        <v>0</v>
      </c>
      <c r="K67" s="28">
        <f t="shared" si="15"/>
        <v>105562903.14</v>
      </c>
      <c r="L67" s="28">
        <v>105562903.14</v>
      </c>
      <c r="M67" s="64">
        <f>K67-L67</f>
        <v>0</v>
      </c>
      <c r="N67" s="18"/>
      <c r="O67" s="4"/>
      <c r="S67" s="7"/>
      <c r="T67" s="10"/>
    </row>
    <row r="68" spans="1:38" s="5" customFormat="1" x14ac:dyDescent="0.3">
      <c r="A68" s="6" t="s">
        <v>69</v>
      </c>
      <c r="B68" s="10"/>
      <c r="C68" s="24"/>
      <c r="D68" s="24"/>
      <c r="E68" s="24"/>
      <c r="F68" s="24"/>
      <c r="G68" s="24" t="s">
        <v>20</v>
      </c>
      <c r="H68" s="24" t="s">
        <v>20</v>
      </c>
      <c r="I68" s="24"/>
      <c r="J68" s="24"/>
      <c r="K68" s="24"/>
      <c r="L68" s="24"/>
      <c r="M68" s="3"/>
      <c r="N68" s="18"/>
      <c r="O68" s="4"/>
      <c r="S68" s="7"/>
      <c r="T68" s="10"/>
    </row>
    <row r="69" spans="1:38" s="5" customFormat="1" x14ac:dyDescent="0.3">
      <c r="A69" s="9" t="s">
        <v>122</v>
      </c>
      <c r="B69" s="10" t="s">
        <v>70</v>
      </c>
      <c r="C69" s="24"/>
      <c r="D69" s="24"/>
      <c r="E69" s="24"/>
      <c r="F69" s="24">
        <f>SUM(C69:E69)</f>
        <v>0</v>
      </c>
      <c r="G69" s="24">
        <v>54670781.68</v>
      </c>
      <c r="H69" s="24"/>
      <c r="I69" s="24"/>
      <c r="J69" s="24"/>
      <c r="K69" s="33">
        <f>SUM(F69:J69)</f>
        <v>54670781.68</v>
      </c>
      <c r="L69" s="24"/>
      <c r="M69" s="3"/>
      <c r="N69" s="18"/>
      <c r="O69" s="4"/>
      <c r="S69" s="7"/>
      <c r="T69" s="10"/>
    </row>
    <row r="70" spans="1:38" s="5" customFormat="1" x14ac:dyDescent="0.3">
      <c r="A70" s="9" t="s">
        <v>133</v>
      </c>
      <c r="B70" s="10" t="s">
        <v>124</v>
      </c>
      <c r="C70" s="24"/>
      <c r="D70" s="24">
        <v>2730389.01</v>
      </c>
      <c r="E70" s="24"/>
      <c r="F70" s="24">
        <f>SUM(C70:E70)</f>
        <v>2730389.01</v>
      </c>
      <c r="G70" s="24" t="s">
        <v>20</v>
      </c>
      <c r="H70" s="24"/>
      <c r="I70" s="24"/>
      <c r="J70" s="24"/>
      <c r="K70" s="33">
        <f>SUM(F70:J70)</f>
        <v>2730389.01</v>
      </c>
      <c r="L70" s="24"/>
      <c r="M70" s="3"/>
      <c r="N70" s="18"/>
      <c r="O70" s="4"/>
      <c r="S70" s="7"/>
      <c r="T70" s="10"/>
    </row>
    <row r="71" spans="1:38" s="5" customFormat="1" ht="14.25" thickBot="1" x14ac:dyDescent="0.35">
      <c r="A71" s="9" t="s">
        <v>134</v>
      </c>
      <c r="B71" s="10" t="s">
        <v>135</v>
      </c>
      <c r="C71" s="24"/>
      <c r="D71" s="24"/>
      <c r="E71" s="24"/>
      <c r="F71" s="24">
        <f>SUM(C71:E71)</f>
        <v>0</v>
      </c>
      <c r="G71" s="24">
        <v>-2730389.01</v>
      </c>
      <c r="H71" s="24"/>
      <c r="I71" s="24"/>
      <c r="J71" s="24"/>
      <c r="K71" s="33">
        <f>SUM(F71:J71)</f>
        <v>-2730389.01</v>
      </c>
      <c r="L71" s="24"/>
      <c r="M71" s="3"/>
      <c r="N71" s="18"/>
      <c r="O71" s="4"/>
      <c r="R71" s="7"/>
      <c r="S71" s="10"/>
    </row>
    <row r="72" spans="1:38" s="5" customFormat="1" ht="15.75" x14ac:dyDescent="0.45">
      <c r="A72" s="9" t="s">
        <v>115</v>
      </c>
      <c r="B72" s="10" t="s">
        <v>116</v>
      </c>
      <c r="C72" s="24"/>
      <c r="D72" s="24"/>
      <c r="E72" s="24"/>
      <c r="F72" s="24">
        <f t="shared" ref="F72:F73" si="16">SUM(C72:E72)</f>
        <v>0</v>
      </c>
      <c r="G72" s="24">
        <v>27598673</v>
      </c>
      <c r="H72" s="24"/>
      <c r="I72" s="24"/>
      <c r="J72" s="24"/>
      <c r="K72" s="33">
        <f t="shared" ref="K72:K73" si="17">SUM(F72:J72)</f>
        <v>27598673</v>
      </c>
      <c r="L72" s="24"/>
      <c r="M72" s="3"/>
      <c r="N72" s="58" t="s">
        <v>103</v>
      </c>
      <c r="O72" s="72" t="s">
        <v>104</v>
      </c>
      <c r="R72" s="7"/>
      <c r="S72" s="10"/>
    </row>
    <row r="73" spans="1:38" s="5" customFormat="1" x14ac:dyDescent="0.3">
      <c r="A73" s="9" t="s">
        <v>114</v>
      </c>
      <c r="B73" s="10" t="s">
        <v>117</v>
      </c>
      <c r="C73" s="24"/>
      <c r="D73" s="24"/>
      <c r="E73" s="24"/>
      <c r="F73" s="24">
        <f t="shared" si="16"/>
        <v>0</v>
      </c>
      <c r="G73" s="24">
        <v>61831625.609999999</v>
      </c>
      <c r="H73" s="24"/>
      <c r="I73" s="24"/>
      <c r="J73" s="24"/>
      <c r="K73" s="33">
        <f t="shared" si="17"/>
        <v>61831625.609999999</v>
      </c>
      <c r="L73" s="24"/>
      <c r="M73" s="3"/>
      <c r="N73" s="60" t="s">
        <v>112</v>
      </c>
      <c r="O73" s="73">
        <v>47520.68</v>
      </c>
    </row>
    <row r="74" spans="1:38" s="5" customFormat="1" x14ac:dyDescent="0.3">
      <c r="A74" s="7"/>
      <c r="B74" s="10"/>
      <c r="C74" s="28">
        <f t="shared" ref="C74:K74" si="18">SUM(C69:C73)</f>
        <v>0</v>
      </c>
      <c r="D74" s="28">
        <f t="shared" si="18"/>
        <v>2730389.01</v>
      </c>
      <c r="E74" s="28">
        <f t="shared" si="18"/>
        <v>0</v>
      </c>
      <c r="F74" s="28">
        <f t="shared" si="18"/>
        <v>2730389.01</v>
      </c>
      <c r="G74" s="28">
        <f t="shared" si="18"/>
        <v>141370691.28</v>
      </c>
      <c r="H74" s="28">
        <f t="shared" si="18"/>
        <v>0</v>
      </c>
      <c r="I74" s="28">
        <f t="shared" si="18"/>
        <v>0</v>
      </c>
      <c r="J74" s="28">
        <f t="shared" si="18"/>
        <v>0</v>
      </c>
      <c r="K74" s="28">
        <f t="shared" si="18"/>
        <v>144101080.29000002</v>
      </c>
      <c r="L74" s="28">
        <v>144101080.28999999</v>
      </c>
      <c r="M74" s="64">
        <f>K74-L74</f>
        <v>0</v>
      </c>
      <c r="N74" s="60" t="s">
        <v>120</v>
      </c>
      <c r="O74" s="73">
        <v>30138791</v>
      </c>
    </row>
    <row r="75" spans="1:38" s="5" customFormat="1" x14ac:dyDescent="0.3">
      <c r="A75" s="7"/>
      <c r="B75" s="10"/>
      <c r="C75" s="29"/>
      <c r="D75" s="29"/>
      <c r="E75" s="29"/>
      <c r="F75" s="29"/>
      <c r="G75" s="29" t="s">
        <v>20</v>
      </c>
      <c r="H75" s="29"/>
      <c r="I75" s="29"/>
      <c r="J75" s="29"/>
      <c r="K75" s="29"/>
      <c r="L75" s="29"/>
      <c r="M75" s="15"/>
      <c r="N75" s="60" t="s">
        <v>121</v>
      </c>
      <c r="O75" s="73">
        <v>24484425</v>
      </c>
    </row>
    <row r="76" spans="1:38" s="5" customFormat="1" x14ac:dyDescent="0.3">
      <c r="A76" s="6" t="s">
        <v>74</v>
      </c>
      <c r="B76" s="10"/>
      <c r="C76" s="24"/>
      <c r="D76" s="24" t="s">
        <v>20</v>
      </c>
      <c r="E76" s="24"/>
      <c r="F76" s="24"/>
      <c r="G76" s="24" t="s">
        <v>20</v>
      </c>
      <c r="H76" s="24"/>
      <c r="I76" s="24"/>
      <c r="J76" s="24"/>
      <c r="K76" s="24"/>
      <c r="L76" s="24"/>
      <c r="M76" s="3"/>
      <c r="N76" s="60" t="s">
        <v>102</v>
      </c>
      <c r="O76" s="74">
        <v>0</v>
      </c>
    </row>
    <row r="77" spans="1:38" s="5" customFormat="1" x14ac:dyDescent="0.3">
      <c r="A77" s="9" t="s">
        <v>126</v>
      </c>
      <c r="B77" s="10" t="s">
        <v>127</v>
      </c>
      <c r="C77" s="24"/>
      <c r="D77" s="24">
        <v>0</v>
      </c>
      <c r="E77" s="24">
        <v>0</v>
      </c>
      <c r="F77" s="24">
        <f>SUM(C77:E77)</f>
        <v>0</v>
      </c>
      <c r="G77" s="24">
        <v>4950373</v>
      </c>
      <c r="H77" s="24"/>
      <c r="I77" s="24"/>
      <c r="J77" s="24"/>
      <c r="K77" s="33">
        <f>SUM(F77:J77)</f>
        <v>4950373</v>
      </c>
      <c r="L77" s="24"/>
      <c r="M77" s="3"/>
      <c r="N77" s="60" t="s">
        <v>108</v>
      </c>
      <c r="O77" s="74">
        <v>45</v>
      </c>
    </row>
    <row r="78" spans="1:38" s="5" customFormat="1" x14ac:dyDescent="0.3">
      <c r="A78" s="7"/>
      <c r="B78" s="10"/>
      <c r="C78" s="28">
        <f t="shared" ref="C78:J78" si="19">SUM(C77:C77)</f>
        <v>0</v>
      </c>
      <c r="D78" s="28">
        <f t="shared" si="19"/>
        <v>0</v>
      </c>
      <c r="E78" s="28">
        <f t="shared" si="19"/>
        <v>0</v>
      </c>
      <c r="F78" s="28">
        <f t="shared" si="19"/>
        <v>0</v>
      </c>
      <c r="G78" s="28">
        <f t="shared" si="19"/>
        <v>4950373</v>
      </c>
      <c r="H78" s="28">
        <f t="shared" si="19"/>
        <v>0</v>
      </c>
      <c r="I78" s="28">
        <f t="shared" si="19"/>
        <v>0</v>
      </c>
      <c r="J78" s="28">
        <f t="shared" si="19"/>
        <v>0</v>
      </c>
      <c r="K78" s="28">
        <f>SUM(K77:K77)</f>
        <v>4950373</v>
      </c>
      <c r="L78" s="28">
        <v>4950373</v>
      </c>
      <c r="M78" s="64">
        <f>K78-L78</f>
        <v>0</v>
      </c>
      <c r="N78" s="60" t="s">
        <v>20</v>
      </c>
      <c r="O78" s="74"/>
    </row>
    <row r="79" spans="1:38" s="5" customFormat="1" ht="14.25" thickBot="1" x14ac:dyDescent="0.35">
      <c r="A79" s="6" t="s">
        <v>22</v>
      </c>
      <c r="B79" s="10"/>
      <c r="C79" s="24"/>
      <c r="D79" s="24" t="s">
        <v>20</v>
      </c>
      <c r="E79" s="24"/>
      <c r="F79" s="24"/>
      <c r="G79" s="24" t="s">
        <v>20</v>
      </c>
      <c r="H79" s="24"/>
      <c r="I79" s="24"/>
      <c r="J79" s="24"/>
      <c r="K79" s="24"/>
      <c r="L79" s="24"/>
      <c r="M79" s="3"/>
      <c r="N79" s="57"/>
      <c r="O79" s="75">
        <f>SUM(O73:O78)</f>
        <v>54670781.68</v>
      </c>
    </row>
    <row r="80" spans="1:38" x14ac:dyDescent="0.3">
      <c r="A80" s="7">
        <v>279</v>
      </c>
      <c r="B80" s="10" t="s">
        <v>40</v>
      </c>
      <c r="C80" s="24">
        <v>0</v>
      </c>
      <c r="D80" s="24">
        <v>0</v>
      </c>
      <c r="E80" s="24">
        <v>0</v>
      </c>
      <c r="F80" s="24">
        <f>SUM(C80:E80)</f>
        <v>0</v>
      </c>
      <c r="G80" s="24">
        <v>0</v>
      </c>
      <c r="H80" s="24"/>
      <c r="I80" s="24"/>
      <c r="J80" s="24"/>
      <c r="K80" s="33">
        <f>SUM(F80:J80)</f>
        <v>0</v>
      </c>
      <c r="N80" s="76"/>
      <c r="AL80" s="11"/>
    </row>
    <row r="81" spans="1:38" x14ac:dyDescent="0.3">
      <c r="A81" s="7"/>
      <c r="C81" s="28">
        <f t="shared" ref="C81:J81" si="20">SUM(C80:C80)</f>
        <v>0</v>
      </c>
      <c r="D81" s="28">
        <f t="shared" si="20"/>
        <v>0</v>
      </c>
      <c r="E81" s="28">
        <f t="shared" si="20"/>
        <v>0</v>
      </c>
      <c r="F81" s="28">
        <f t="shared" si="20"/>
        <v>0</v>
      </c>
      <c r="G81" s="28">
        <f t="shared" si="20"/>
        <v>0</v>
      </c>
      <c r="H81" s="28">
        <f t="shared" si="20"/>
        <v>0</v>
      </c>
      <c r="I81" s="28">
        <f t="shared" si="20"/>
        <v>0</v>
      </c>
      <c r="J81" s="28">
        <f t="shared" si="20"/>
        <v>0</v>
      </c>
      <c r="K81" s="28">
        <f>SUM(K80:K80)</f>
        <v>0</v>
      </c>
      <c r="L81" s="28">
        <f>SUM(K80:K80)</f>
        <v>0</v>
      </c>
      <c r="M81" s="64">
        <f>K81-L81</f>
        <v>0</v>
      </c>
      <c r="N81" s="76"/>
      <c r="AL81" s="11"/>
    </row>
    <row r="82" spans="1:38" x14ac:dyDescent="0.3">
      <c r="A82" s="7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15"/>
    </row>
    <row r="83" spans="1:38" ht="14.25" thickBot="1" x14ac:dyDescent="0.35">
      <c r="B83" s="17" t="s">
        <v>62</v>
      </c>
      <c r="C83" s="30">
        <f t="shared" ref="C83:K83" si="21">C14+C24+C32+C43+C67+C74+C81</f>
        <v>31499083.760000002</v>
      </c>
      <c r="D83" s="30">
        <f t="shared" si="21"/>
        <v>32605407.910000004</v>
      </c>
      <c r="E83" s="30">
        <f t="shared" si="21"/>
        <v>168316</v>
      </c>
      <c r="F83" s="30">
        <f t="shared" si="21"/>
        <v>64272807.670000002</v>
      </c>
      <c r="G83" s="30">
        <f t="shared" si="21"/>
        <v>348662309.13999999</v>
      </c>
      <c r="H83" s="30">
        <f t="shared" si="21"/>
        <v>566273.13</v>
      </c>
      <c r="I83" s="30">
        <f t="shared" si="21"/>
        <v>0</v>
      </c>
      <c r="J83" s="30">
        <f t="shared" si="21"/>
        <v>0</v>
      </c>
      <c r="K83" s="30">
        <f t="shared" si="21"/>
        <v>413501389.94</v>
      </c>
      <c r="L83" s="30">
        <f>SUM(L14:L82)</f>
        <v>418451762.94000006</v>
      </c>
    </row>
    <row r="84" spans="1:38" ht="14.25" thickTop="1" x14ac:dyDescent="0.3"/>
    <row r="85" spans="1:38" s="25" customFormat="1" x14ac:dyDescent="0.3">
      <c r="A85" s="16"/>
      <c r="B85" s="10"/>
      <c r="D85" s="25" t="s">
        <v>20</v>
      </c>
      <c r="H85" s="25" t="s">
        <v>20</v>
      </c>
      <c r="K85" s="68"/>
      <c r="L85" s="24"/>
      <c r="M85" s="3"/>
      <c r="N85" s="18"/>
      <c r="O85" s="4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s="25" customFormat="1" x14ac:dyDescent="0.3">
      <c r="A86" s="16"/>
      <c r="B86" s="10"/>
      <c r="K86" s="68"/>
      <c r="L86" s="24"/>
      <c r="M86" s="3"/>
      <c r="N86" s="18"/>
      <c r="O86" s="4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x14ac:dyDescent="0.3">
      <c r="K87" s="68"/>
    </row>
    <row r="88" spans="1:38" x14ac:dyDescent="0.3">
      <c r="K88" s="68"/>
    </row>
    <row r="89" spans="1:38" x14ac:dyDescent="0.3">
      <c r="K89" s="68"/>
    </row>
    <row r="90" spans="1:38" x14ac:dyDescent="0.3">
      <c r="K90" s="68"/>
    </row>
    <row r="91" spans="1:38" x14ac:dyDescent="0.3">
      <c r="K91" s="68"/>
    </row>
    <row r="92" spans="1:38" x14ac:dyDescent="0.3">
      <c r="K92" s="68"/>
      <c r="M92" s="24"/>
    </row>
    <row r="93" spans="1:38" x14ac:dyDescent="0.3">
      <c r="K93" s="68"/>
    </row>
    <row r="94" spans="1:38" x14ac:dyDescent="0.3">
      <c r="K94" s="68"/>
    </row>
    <row r="95" spans="1:38" x14ac:dyDescent="0.3">
      <c r="K95" s="68"/>
    </row>
    <row r="96" spans="1:38" x14ac:dyDescent="0.3">
      <c r="K96" s="68"/>
    </row>
    <row r="97" spans="1:38" x14ac:dyDescent="0.3">
      <c r="K97" s="68"/>
    </row>
    <row r="98" spans="1:38" x14ac:dyDescent="0.3">
      <c r="K98" s="68"/>
    </row>
    <row r="99" spans="1:38" x14ac:dyDescent="0.3">
      <c r="K99" s="68"/>
    </row>
    <row r="100" spans="1:38" x14ac:dyDescent="0.3">
      <c r="K100" s="68"/>
    </row>
    <row r="101" spans="1:38" s="24" customFormat="1" x14ac:dyDescent="0.3">
      <c r="A101" s="16"/>
      <c r="B101" s="10"/>
      <c r="C101" s="25"/>
      <c r="D101" s="25"/>
      <c r="E101" s="25"/>
      <c r="F101" s="25"/>
      <c r="G101" s="25"/>
      <c r="H101" s="25"/>
      <c r="I101" s="25"/>
      <c r="J101" s="25"/>
      <c r="K101" s="68"/>
      <c r="M101" s="3"/>
      <c r="N101" s="18"/>
      <c r="O101" s="4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s="24" customFormat="1" x14ac:dyDescent="0.3">
      <c r="A102" s="16"/>
      <c r="B102" s="10"/>
      <c r="C102" s="25"/>
      <c r="D102" s="25"/>
      <c r="E102" s="25"/>
      <c r="F102" s="25"/>
      <c r="G102" s="25"/>
      <c r="H102" s="25"/>
      <c r="I102" s="25"/>
      <c r="J102" s="25"/>
      <c r="K102" s="68"/>
      <c r="M102" s="3"/>
      <c r="N102" s="18"/>
      <c r="O102" s="4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s="24" customFormat="1" x14ac:dyDescent="0.3">
      <c r="A103" s="16"/>
      <c r="B103" s="10"/>
      <c r="C103" s="25"/>
      <c r="D103" s="25"/>
      <c r="E103" s="25"/>
      <c r="F103" s="25"/>
      <c r="G103" s="25"/>
      <c r="H103" s="25"/>
      <c r="I103" s="25"/>
      <c r="J103" s="25"/>
      <c r="K103" s="68"/>
      <c r="M103" s="3"/>
      <c r="N103" s="18"/>
      <c r="O103" s="4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s="24" customFormat="1" x14ac:dyDescent="0.3">
      <c r="A104" s="16"/>
      <c r="B104" s="10"/>
      <c r="C104" s="25"/>
      <c r="D104" s="25"/>
      <c r="E104" s="25"/>
      <c r="F104" s="25"/>
      <c r="G104" s="25"/>
      <c r="H104" s="25"/>
      <c r="I104" s="25"/>
      <c r="J104" s="25"/>
      <c r="K104" s="68"/>
      <c r="M104" s="3"/>
      <c r="N104" s="18"/>
      <c r="O104" s="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s="24" customFormat="1" x14ac:dyDescent="0.3">
      <c r="A105" s="16"/>
      <c r="B105" s="10"/>
      <c r="C105" s="25"/>
      <c r="D105" s="25"/>
      <c r="E105" s="25"/>
      <c r="F105" s="25"/>
      <c r="G105" s="25"/>
      <c r="H105" s="25"/>
      <c r="I105" s="25"/>
      <c r="J105" s="25"/>
      <c r="K105" s="68"/>
      <c r="M105" s="3"/>
      <c r="N105" s="18"/>
      <c r="O105" s="4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s="24" customFormat="1" x14ac:dyDescent="0.3">
      <c r="A106" s="16"/>
      <c r="B106" s="10"/>
      <c r="C106" s="25"/>
      <c r="D106" s="25"/>
      <c r="E106" s="25"/>
      <c r="F106" s="25"/>
      <c r="G106" s="25"/>
      <c r="H106" s="25"/>
      <c r="I106" s="25"/>
      <c r="J106" s="25"/>
      <c r="K106" s="25"/>
      <c r="M106" s="3"/>
      <c r="N106" s="18"/>
      <c r="O106" s="4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s="24" customFormat="1" x14ac:dyDescent="0.3">
      <c r="A107" s="16"/>
      <c r="B107" s="10"/>
      <c r="C107" s="25"/>
      <c r="D107" s="25"/>
      <c r="E107" s="25"/>
      <c r="F107" s="25"/>
      <c r="G107" s="25"/>
      <c r="H107" s="25"/>
      <c r="I107" s="25"/>
      <c r="J107" s="25"/>
      <c r="K107" s="25"/>
      <c r="M107" s="3"/>
      <c r="N107" s="18"/>
      <c r="O107" s="4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s="24" customFormat="1" x14ac:dyDescent="0.3">
      <c r="A108" s="16"/>
      <c r="B108" s="10"/>
      <c r="C108" s="25"/>
      <c r="D108" s="25"/>
      <c r="E108" s="25"/>
      <c r="F108" s="25"/>
      <c r="G108" s="25"/>
      <c r="H108" s="25"/>
      <c r="I108" s="25"/>
      <c r="J108" s="25"/>
      <c r="K108" s="25"/>
      <c r="M108" s="3"/>
      <c r="N108" s="18"/>
      <c r="O108" s="4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s="24" customFormat="1" x14ac:dyDescent="0.3">
      <c r="A109" s="16"/>
      <c r="B109" s="10"/>
      <c r="C109" s="25"/>
      <c r="D109" s="25"/>
      <c r="E109" s="25"/>
      <c r="F109" s="25"/>
      <c r="G109" s="25"/>
      <c r="H109" s="25"/>
      <c r="I109" s="25"/>
      <c r="J109" s="25"/>
      <c r="K109" s="25"/>
      <c r="M109" s="3"/>
      <c r="N109" s="18"/>
      <c r="O109" s="4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</sheetData>
  <printOptions horizontalCentered="1" verticalCentered="1" gridLines="1"/>
  <pageMargins left="0" right="0" top="1" bottom="0.75" header="0.5" footer="0.5"/>
  <pageSetup paperSize="5" scale="70" fitToHeight="2" orientation="landscape" cellComments="asDisplayed" r:id="rId1"/>
  <headerFooter alignWithMargins="0">
    <oddHeader>&amp;L&amp;D&amp;C&amp;F&amp;R&amp;A</oddHeader>
    <oddFooter>&amp;C&amp;P of &amp;N</oddFooter>
  </headerFooter>
  <rowBreaks count="1" manualBreakCount="1">
    <brk id="4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exhIV_2022</vt:lpstr>
      <vt:lpstr>exhIV_2021</vt:lpstr>
      <vt:lpstr>exhIV_2021!Print_Area</vt:lpstr>
      <vt:lpstr>exhIV_2022!Print_Area</vt:lpstr>
      <vt:lpstr>exhIV_2021!Print_Titles</vt:lpstr>
      <vt:lpstr>exhIV_2022!Print_Titles</vt:lpstr>
    </vt:vector>
  </TitlesOfParts>
  <Company>Texas A&amp;M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JLK</dc:creator>
  <cp:lastModifiedBy>Killion, Janet L</cp:lastModifiedBy>
  <cp:lastPrinted>2022-09-27T21:01:46Z</cp:lastPrinted>
  <dcterms:created xsi:type="dcterms:W3CDTF">2002-10-11T20:20:03Z</dcterms:created>
  <dcterms:modified xsi:type="dcterms:W3CDTF">2023-08-03T22:21:08Z</dcterms:modified>
</cp:coreProperties>
</file>